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gdAEg6HDKLlt1pYzJgH0mQow65iTmAPFpTJG8t4hxFNssPSmI0ECckygehFdeCZD6MW96sQ4v7pLDfU535RQEw==" workbookSaltValue="HlnmKf/TUaMdcjRgy4uZr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E16" i="13" s="1"/>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F12" i="21" s="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3" i="17" s="1"/>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AV18" i="21" s="1"/>
  <c r="P18" i="8"/>
  <c r="O18" i="8"/>
  <c r="M18" i="8"/>
  <c r="N18" i="8"/>
  <c r="L18" i="8"/>
  <c r="E18" i="7" s="1"/>
  <c r="K18" i="8"/>
  <c r="D18" i="7" s="1"/>
  <c r="J18" i="8"/>
  <c r="E18" i="12"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R8" i="9" s="1"/>
  <c r="S5" i="9"/>
  <c r="S6" i="9"/>
  <c r="S3" i="9"/>
  <c r="H9" i="11"/>
  <c r="I11" i="11"/>
  <c r="I12" i="11"/>
  <c r="H12" i="11"/>
  <c r="I9" i="11"/>
  <c r="S9" i="11"/>
  <c r="S11" i="11"/>
  <c r="AA16" i="11"/>
  <c r="AA15" i="11"/>
  <c r="AA12" i="11"/>
  <c r="G12" i="12" s="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B17" i="6" s="1"/>
  <c r="C16" i="2"/>
  <c r="C17" i="2"/>
  <c r="I9" i="2"/>
  <c r="I10" i="2"/>
  <c r="I11" i="2"/>
  <c r="I12" i="2"/>
  <c r="C10" i="2"/>
  <c r="C11" i="2"/>
  <c r="D11" i="2" s="1"/>
  <c r="C12" i="2"/>
  <c r="D12" i="2" s="1"/>
  <c r="G9" i="2"/>
  <c r="G10" i="2"/>
  <c r="G11" i="2"/>
  <c r="G12" i="2"/>
  <c r="E9" i="2"/>
  <c r="AO9" i="11"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BF16" i="8" s="1"/>
  <c r="AZ16" i="8"/>
  <c r="AY16" i="8"/>
  <c r="BB15" i="8"/>
  <c r="BA15" i="8"/>
  <c r="AZ15" i="8"/>
  <c r="AY15" i="8"/>
  <c r="BB12" i="8"/>
  <c r="BA12" i="8"/>
  <c r="BE12" i="8" s="1"/>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G10" i="8" s="1"/>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W18" i="21"/>
  <c r="AR13" i="21"/>
  <c r="R13" i="12"/>
  <c r="P19" i="19"/>
  <c r="BE11" i="13"/>
  <c r="BD11" i="13"/>
  <c r="BF17" i="8"/>
  <c r="B13" i="7"/>
  <c r="EL19" i="8"/>
  <c r="AP12" i="11"/>
  <c r="EN19" i="8"/>
  <c r="G10" i="3"/>
  <c r="BA13" i="16"/>
  <c r="J10" i="2"/>
  <c r="AP10" i="11"/>
  <c r="T10" i="21"/>
  <c r="ES19" i="8"/>
  <c r="G18" i="12"/>
  <c r="C18" i="7"/>
  <c r="BM19" i="8"/>
  <c r="AL13" i="16"/>
  <c r="S13" i="16"/>
  <c r="P13" i="16"/>
  <c r="AM13" i="20"/>
  <c r="Z13" i="17"/>
  <c r="M18" i="2"/>
  <c r="H13" i="12"/>
  <c r="F13" i="7"/>
  <c r="T13" i="12"/>
  <c r="BD9" i="8"/>
  <c r="T13" i="20"/>
  <c r="T13" i="16"/>
  <c r="AP13" i="16"/>
  <c r="BG15" i="13"/>
  <c r="F20" i="20"/>
  <c r="AE20" i="20"/>
  <c r="L20" i="20"/>
  <c r="AP20" i="20"/>
  <c r="AF20" i="20"/>
  <c r="O20" i="20"/>
  <c r="Q20" i="20"/>
  <c r="AG20" i="20"/>
  <c r="O16" i="11"/>
  <c r="AQ20" i="21"/>
  <c r="G18" i="14"/>
  <c r="AM20" i="20"/>
  <c r="AB20" i="20"/>
  <c r="P20" i="20"/>
  <c r="W20" i="21"/>
  <c r="R20" i="20"/>
  <c r="O10" i="11"/>
  <c r="J20" i="20"/>
  <c r="M20" i="20"/>
  <c r="AH20" i="20"/>
  <c r="T20" i="21"/>
  <c r="I20" i="20"/>
  <c r="AJ20" i="20"/>
  <c r="W20" i="20"/>
  <c r="AO20" i="20"/>
  <c r="AU20" i="20"/>
  <c r="Y20" i="20"/>
  <c r="AV20" i="20"/>
  <c r="AQ20" i="20"/>
  <c r="Z20" i="20"/>
  <c r="AK20" i="20"/>
  <c r="E20" i="20"/>
  <c r="BM18" i="16" l="1"/>
  <c r="BD15" i="8"/>
  <c r="H15" i="7" s="1"/>
  <c r="I19" i="8"/>
  <c r="AC10" i="11"/>
  <c r="Q19" i="8"/>
  <c r="BA13" i="8"/>
  <c r="C11" i="6"/>
  <c r="X12" i="21"/>
  <c r="BJ17" i="11"/>
  <c r="V11" i="16"/>
  <c r="BL12" i="11"/>
  <c r="BI10" i="11"/>
  <c r="BJ11" i="11"/>
  <c r="BG15" i="11"/>
  <c r="T15" i="16"/>
  <c r="BV12" i="16"/>
  <c r="S12" i="14"/>
  <c r="V12" i="14" s="1"/>
  <c r="BG12" i="11"/>
  <c r="AQ10" i="21"/>
  <c r="BH10" i="16"/>
  <c r="BM17" i="11"/>
  <c r="T11" i="11"/>
  <c r="BH16" i="11"/>
  <c r="AQ12" i="21"/>
  <c r="BJ16" i="11"/>
  <c r="BL16" i="11"/>
  <c r="AA10" i="16"/>
  <c r="S16" i="17"/>
  <c r="L12" i="2"/>
  <c r="L17" i="2"/>
  <c r="V9" i="16"/>
  <c r="BH9" i="16"/>
  <c r="BH15" i="16"/>
  <c r="BF16" i="11"/>
  <c r="S9" i="17"/>
  <c r="S16" i="14"/>
  <c r="V16" i="14" s="1"/>
  <c r="BJ12" i="11"/>
  <c r="BK17" i="11"/>
  <c r="BV17" i="16"/>
  <c r="BV11" i="16"/>
  <c r="BU16" i="17"/>
  <c r="S11" i="14"/>
  <c r="V11" i="14" s="1"/>
  <c r="BH10" i="11"/>
  <c r="R11" i="14"/>
  <c r="Q15" i="17"/>
  <c r="Q18" i="17" s="1"/>
  <c r="BF15" i="11"/>
  <c r="S17" i="17"/>
  <c r="BM9" i="11"/>
  <c r="BH12" i="16"/>
  <c r="BK10" i="11"/>
  <c r="L10" i="2"/>
  <c r="L15" i="2"/>
  <c r="L16" i="2"/>
  <c r="X10" i="21"/>
  <c r="U9" i="17"/>
  <c r="U19" i="17" s="1"/>
  <c r="L9" i="2"/>
  <c r="AA9" i="16"/>
  <c r="AA11" i="16"/>
  <c r="V12" i="21"/>
  <c r="S15" i="17"/>
  <c r="U10" i="17"/>
  <c r="X15" i="16"/>
  <c r="X18" i="16" s="1"/>
  <c r="AN12" i="11"/>
  <c r="D10" i="6"/>
  <c r="BF15" i="8"/>
  <c r="J15" i="7" s="1"/>
  <c r="BF11" i="8"/>
  <c r="BF9" i="8"/>
  <c r="J9" i="7" s="1"/>
  <c r="BG9" i="8"/>
  <c r="K9" i="7" s="1"/>
  <c r="BG12" i="8"/>
  <c r="K12" i="7" s="1"/>
  <c r="E9" i="6"/>
  <c r="AO17" i="11"/>
  <c r="AO15" i="11"/>
  <c r="AL16" i="11"/>
  <c r="AB13" i="21"/>
  <c r="BG16" i="13"/>
  <c r="BD16" i="13"/>
  <c r="BE15" i="13"/>
  <c r="F15" i="16"/>
  <c r="BL15" i="16" s="1"/>
  <c r="BE12" i="21"/>
  <c r="BE13" i="21" s="1"/>
  <c r="BE19" i="21" s="1"/>
  <c r="BE9" i="13"/>
  <c r="AL9" i="11"/>
  <c r="E11" i="6"/>
  <c r="BG16" i="11"/>
  <c r="BH11" i="11"/>
  <c r="BK16" i="11"/>
  <c r="BJ10"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BL10" i="11"/>
  <c r="BL15" i="11"/>
  <c r="BF12" i="11"/>
  <c r="P15" i="17"/>
  <c r="S15" i="16"/>
  <c r="S18" i="16" s="1"/>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Y9" i="11"/>
  <c r="R18" i="11"/>
  <c r="Y10" i="11"/>
  <c r="AC17" i="11"/>
  <c r="AQ10" i="11"/>
  <c r="AR18" i="11"/>
  <c r="B15" i="6"/>
  <c r="C17" i="6"/>
  <c r="AO15" i="17"/>
  <c r="AX21" i="11"/>
  <c r="I12" i="3"/>
  <c r="I10" i="3"/>
  <c r="BI17" i="16"/>
  <c r="J16" i="10"/>
  <c r="L16" i="10" s="1"/>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C13" i="5"/>
  <c r="BG16" i="8"/>
  <c r="BD16" i="8"/>
  <c r="H16" i="7" s="1"/>
  <c r="F12" i="2"/>
  <c r="AO12" i="11"/>
  <c r="K10" i="12"/>
  <c r="L12" i="14"/>
  <c r="I12" i="7"/>
  <c r="C12" i="6"/>
  <c r="I12" i="12" s="1"/>
  <c r="B12" i="6"/>
  <c r="AO12" i="17"/>
  <c r="L10" i="14"/>
  <c r="B10" i="6"/>
  <c r="T18" i="12"/>
  <c r="AJ19" i="8"/>
  <c r="AL19" i="8"/>
  <c r="G17" i="3"/>
  <c r="G15" i="3"/>
  <c r="G13" i="2"/>
  <c r="K9" i="12"/>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F11" i="12"/>
  <c r="AP15" i="11"/>
  <c r="AV13" i="11"/>
  <c r="AB18" i="11"/>
  <c r="I18" i="11"/>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AX20" i="20"/>
  <c r="T20" i="20"/>
  <c r="X20" i="20"/>
  <c r="U10" i="11"/>
  <c r="AI20" i="20"/>
  <c r="AL20" i="20"/>
  <c r="AA20" i="20"/>
  <c r="K20" i="20"/>
  <c r="U12" i="11"/>
  <c r="AN20" i="20"/>
  <c r="S20" i="20"/>
  <c r="N20" i="20"/>
  <c r="AD20" i="20"/>
  <c r="AZ20" i="20"/>
  <c r="G13" i="14"/>
  <c r="H20" i="20"/>
  <c r="U16" i="11"/>
  <c r="I15" i="12" l="1"/>
  <c r="K16" i="12"/>
  <c r="AZ19" i="11"/>
  <c r="R19" i="21"/>
  <c r="K15" i="12"/>
  <c r="J12" i="12"/>
  <c r="BJ18" i="11"/>
  <c r="S19" i="16"/>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AC20" i="20"/>
  <c r="O17" i="11"/>
  <c r="AW20" i="11"/>
  <c r="AV20" i="21"/>
  <c r="U17" i="1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R20" i="21"/>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L20" i="11"/>
  <c r="AG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<sst xmlns="http://schemas.openxmlformats.org/spreadsheetml/2006/main" count="2094" uniqueCount="913">
  <si>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</si>
  <si>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</si>
  <si>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</si>
  <si>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</si>
  <si>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</si>
  <si>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</si>
  <si>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</si>
  <si>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</si>
  <si>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</si>
  <si>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</si>
  <si>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</si>
  <si>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</si>
  <si>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</si>
  <si>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</si>
  <si>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</si>
  <si>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</si>
  <si>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</si>
  <si>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</si>
  <si>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</si>
  <si>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</si>
  <si>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</si>
  <si>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</si>
  <si>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</si>
  <si>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</si>
  <si>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</si>
  <si>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</si>
  <si>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</si>
  <si>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</si>
  <si>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</si>
  <si>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</si>
  <si>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</si>
  <si>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</si>
  <si>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</si>
  <si>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</si>
  <si>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</si>
  <si>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</si>
  <si>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</si>
  <si>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</si>
  <si>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</si>
  <si>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</si>
  <si>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</si>
  <si>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</si>
  <si>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</si>
  <si>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</si>
  <si>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</si>
  <si>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</si>
  <si>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</si>
  <si>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</si>
  <si>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</si>
  <si>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</si>
  <si>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</si>
  <si>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</si>
  <si>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</si>
  <si>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</si>
  <si>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</si>
  <si>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</si>
  <si>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</si>
  <si>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</si>
  <si>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</si>
  <si>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</si>
  <si>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</si>
  <si>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</si>
  <si>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</si>
  <si>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</si>
  <si>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</si>
  <si>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</si>
  <si>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</si>
  <si>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</si>
  <si>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</si>
  <si>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</si>
  <si>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</si>
  <si>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</si>
  <si>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</si>
  <si>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</si>
  <si>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</si>
  <si>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</si>
  <si>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</si>
  <si>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</si>
  <si>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</si>
  <si>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</si>
  <si>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</si>
  <si>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</si>
  <si>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</si>
  <si>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</si>
  <si>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</si>
  <si>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</si>
  <si>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</si>
  <si>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</si>
  <si>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</si>
  <si>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</si>
  <si>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</si>
  <si>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</si>
  <si>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</si>
  <si>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</si>
  <si>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</si>
  <si>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</si>
  <si>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</si>
  <si>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</si>
  <si>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</si>
  <si>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</si>
  <si>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</si>
  <si>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</si>
  <si>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</si>
  <si>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</si>
  <si>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</si>
  <si>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</si>
  <si>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</si>
  <si>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</si>
  <si>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</si>
  <si>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</si>
  <si>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</si>
  <si>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</si>
  <si>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</si>
  <si>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</si>
  <si>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</si>
  <si>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</si>
  <si>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</si>
  <si>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</si>
  <si>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</si>
  <si>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</si>
  <si>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</si>
  <si>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</si>
  <si>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</si>
  <si>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</si>
  <si>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</si>
  <si>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</si>
  <si>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</si>
  <si>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</si>
  <si>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</si>
  <si>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</si>
  <si>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</si>
  <si>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</si>
  <si>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</si>
  <si>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</si>
  <si>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</si>
  <si>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</si>
  <si>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</si>
  <si>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</si>
  <si>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</si>
  <si>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</si>
  <si>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</si>
  <si>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</si>
  <si>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</si>
  <si>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</si>
  <si>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</si>
  <si>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</si>
  <si>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</si>
  <si>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</si>
  <si>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</si>
  <si>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</si>
  <si>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</si>
  <si>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</si>
  <si>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</si>
  <si>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</si>
  <si>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</si>
  <si>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</si>
  <si>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</si>
  <si>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</si>
  <si>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</si>
  <si>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</si>
  <si>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</si>
  <si>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</si>
  <si>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</si>
  <si>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</si>
  <si>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</si>
  <si>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</si>
  <si>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</si>
  <si>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</si>
  <si>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</si>
  <si>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</si>
  <si>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</si>
  <si>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</si>
  <si>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</si>
  <si>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</si>
  <si>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</si>
  <si>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</si>
  <si>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</si>
  <si>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</si>
  <si>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</si>
  <si>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</si>
  <si>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</si>
  <si>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</si>
  <si>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</si>
  <si>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</si>
  <si>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</si>
  <si>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</si>
  <si>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</si>
  <si>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</si>
  <si>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</si>
  <si>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</si>
  <si>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</si>
  <si>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</si>
  <si>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</si>
  <si>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</si>
  <si>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</si>
  <si>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</si>
  <si>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</si>
  <si>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</si>
  <si>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</si>
  <si>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</si>
  <si>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</si>
  <si>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</si>
  <si>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</si>
  <si>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</si>
  <si>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</si>
  <si>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</si>
  <si>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</si>
  <si>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</si>
  <si>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</si>
  <si>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</si>
  <si>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</si>
  <si>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</si>
  <si>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</si>
  <si>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</si>
  <si>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</si>
  <si>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</si>
  <si>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</si>
  <si>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</si>
  <si>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</si>
  <si>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</si>
  <si>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</si>
  <si>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</si>
  <si>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</si>
  <si>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</si>
  <si>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</si>
  <si>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</si>
  <si>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</si>
  <si>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</si>
  <si>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</si>
  <si>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</si>
  <si>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</si>
  <si>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</si>
  <si>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</si>
  <si>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</si>
  <si>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</si>
  <si>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</si>
  <si>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</si>
  <si>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</si>
  <si>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</si>
  <si>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</si>
  <si>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</si>
  <si>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</si>
  <si>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</si>
  <si>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</si>
  <si>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</si>
  <si>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</si>
  <si>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</si>
  <si>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</si>
  <si>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</si>
  <si>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</si>
  <si>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</si>
  <si>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</si>
  <si>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</si>
  <si>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</si>
  <si>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</si>
  <si>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</si>
  <si>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</si>
  <si>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</si>
  <si>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</si>
  <si>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</si>
  <si>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</si>
  <si>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</si>
  <si>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</si>
  <si>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</si>
  <si>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</si>
  <si>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</si>
  <si>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</si>
  <si>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</si>
  <si>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</si>
  <si>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</si>
  <si>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</si>
  <si>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</si>
  <si>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</si>
  <si>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</si>
  <si>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</si>
  <si>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</si>
  <si>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</si>
  <si>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</si>
  <si>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</si>
  <si>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</si>
  <si>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</si>
  <si>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</si>
  <si>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</si>
  <si>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</si>
  <si>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</si>
  <si>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</si>
  <si>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</si>
  <si>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</si>
  <si>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</si>
  <si>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</si>
  <si>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</si>
  <si>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</si>
  <si>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</si>
  <si>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</si>
  <si>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</si>
  <si>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</si>
  <si>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</si>
  <si>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</si>
  <si>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</si>
  <si>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</si>
  <si>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</si>
  <si>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</si>
  <si>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</si>
  <si>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</si>
  <si>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</si>
  <si>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</si>
  <si>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</si>
  <si>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</si>
  <si>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</si>
  <si>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</si>
  <si>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</si>
  <si>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</si>
  <si>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</si>
  <si>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</si>
  <si>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</si>
  <si>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</si>
  <si>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</si>
  <si>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</si>
  <si>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</si>
  <si>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</si>
  <si>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</si>
  <si>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</si>
  <si>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</si>
  <si>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</si>
  <si>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</si>
  <si>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</si>
  <si>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</si>
  <si>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</si>
  <si>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</si>
  <si>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</si>
  <si>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</si>
  <si>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</si>
  <si>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</si>
  <si>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</si>
  <si>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</si>
  <si>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</si>
  <si>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</si>
  <si>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</si>
  <si>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</si>
  <si>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</si>
  <si>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</si>
  <si>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</si>
  <si>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</si>
  <si>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</si>
  <si>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</si>
  <si>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</si>
  <si>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</si>
  <si>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</si>
  <si>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</si>
  <si>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</si>
  <si>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</si>
  <si>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</si>
  <si>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</si>
  <si>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</si>
  <si>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</si>
  <si>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</si>
  <si>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</si>
  <si>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</si>
  <si>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</si>
  <si>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</si>
  <si>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</si>
  <si>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</si>
  <si>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</si>
  <si>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</si>
  <si>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</si>
  <si>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</si>
  <si>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</si>
  <si>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</si>
  <si>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</si>
  <si>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</si>
  <si>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</si>
  <si>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</si>
  <si>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</si>
  <si>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</si>
  <si>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</si>
  <si>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</si>
  <si>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</si>
  <si>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</si>
  <si>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</si>
  <si>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</si>
  <si>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</si>
  <si>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</si>
  <si>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</si>
  <si>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</si>
  <si>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</si>
  <si>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</si>
  <si>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</si>
  <si>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</si>
  <si>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</si>
  <si>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</si>
  <si>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</si>
  <si>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</si>
  <si>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</si>
  <si>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</si>
  <si>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</si>
  <si>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</si>
  <si>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</si>
  <si>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</si>
  <si>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</si>
  <si>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</si>
  <si>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</si>
  <si>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</si>
  <si>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</si>
  <si>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</si>
  <si>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</si>
  <si>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</si>
  <si>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</si>
  <si>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</si>
  <si>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</si>
  <si>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</si>
  <si>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</si>
  <si>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</si>
  <si>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</si>
  <si>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</si>
  <si>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</si>
  <si>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</si>
  <si>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</si>
  <si>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</si>
  <si>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</si>
  <si>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</si>
  <si>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</si>
  <si>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</si>
  <si>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</si>
  <si>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</si>
  <si>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</si>
  <si>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</si>
  <si>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</si>
  <si>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</si>
  <si>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</si>
  <si>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</si>
  <si>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</si>
  <si>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</si>
  <si>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</si>
  <si>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</si>
  <si>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</si>
  <si>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</si>
  <si>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</si>
  <si>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</si>
  <si>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</si>
  <si>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</si>
  <si>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</si>
  <si>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</si>
  <si>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</si>
  <si>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</si>
  <si>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</si>
  <si>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</si>
  <si>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</si>
  <si>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</si>
  <si>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</si>
  <si>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</si>
  <si>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</si>
  <si>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</si>
  <si>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</si>
  <si>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</si>
  <si>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</si>
  <si>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</si>
  <si>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</si>
  <si>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</si>
  <si>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</si>
  <si>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</si>
  <si>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</si>
  <si>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</si>
  <si>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</si>
  <si>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</si>
  <si>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</si>
  <si>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</si>
  <si>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</si>
  <si>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</si>
  <si>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</si>
  <si>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</si>
  <si>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</si>
  <si>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</si>
  <si>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</si>
  <si>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</si>
  <si>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</si>
  <si>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</si>
  <si>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</si>
  <si>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</si>
  <si>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</si>
  <si>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</si>
  <si>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</si>
  <si>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</si>
  <si>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</si>
  <si>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</si>
  <si>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</si>
  <si>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</si>
  <si>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</si>
  <si>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</si>
  <si>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</si>
  <si>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</si>
  <si>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</si>
  <si>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</si>
  <si>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</si>
  <si>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</si>
  <si>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</si>
  <si>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</si>
  <si>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</si>
  <si>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</si>
  <si>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</si>
  <si>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</si>
  <si>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</si>
  <si>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</si>
  <si>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</si>
  <si>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</si>
  <si>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</si>
  <si>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</si>
  <si>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</si>
  <si>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</si>
  <si>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</si>
  <si>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</si>
  <si>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</si>
  <si>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</si>
  <si>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</si>
  <si>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</si>
  <si>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</si>
  <si>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</si>
  <si>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</si>
  <si>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</si>
  <si>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</si>
  <si>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</si>
  <si>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</si>
  <si>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</si>
  <si>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</si>
  <si>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</si>
  <si>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</si>
  <si>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</si>
  <si>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</si>
  <si>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</si>
  <si>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</si>
  <si>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</si>
  <si>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</si>
  <si>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</si>
  <si>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</si>
  <si>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</si>
  <si>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</si>
  <si>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</si>
  <si>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</si>
  <si>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</si>
  <si>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</si>
  <si>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</si>
  <si>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</si>
  <si>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</si>
  <si>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</si>
  <si>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</si>
  <si>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</si>
  <si>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</si>
  <si>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</si>
  <si>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</si>
  <si>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</si>
  <si>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</si>
  <si>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</si>
  <si>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</si>
  <si>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</si>
  <si>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</si>
  <si>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</si>
  <si>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</si>
  <si>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</si>
  <si>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</si>
  <si>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</si>
  <si>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</si>
  <si>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</si>
  <si>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</si>
  <si>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</si>
  <si>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</si>
  <si>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</si>
  <si>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</si>
  <si>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</si>
  <si>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</si>
  <si>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</si>
  <si>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</si>
  <si>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</si>
  <si>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</si>
  <si>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</si>
  <si>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</si>
  <si>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</si>
  <si>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</si>
  <si>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</si>
  <si>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</si>
  <si>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</si>
  <si>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</si>
  <si>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</si>
  <si>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</si>
  <si>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</si>
  <si>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</si>
  <si>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</si>
  <si>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</si>
  <si>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</si>
  <si>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</si>
  <si>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</si>
  <si>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</si>
  <si>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</si>
  <si>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</si>
  <si>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</si>
  <si>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</si>
  <si>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</si>
  <si>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</si>
  <si>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</si>
  <si>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</si>
  <si>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</si>
  <si>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</si>
  <si>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</si>
  <si>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</si>
  <si>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</si>
  <si>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</si>
  <si>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</si>
  <si>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</si>
  <si>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</si>
  <si>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</si>
  <si>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</si>
  <si>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</si>
  <si>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</si>
  <si>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</si>
  <si>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</si>
  <si>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</si>
  <si>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</si>
  <si>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</si>
  <si>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</si>
  <si>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</si>
  <si>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</si>
  <si>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</si>
  <si>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</si>
  <si>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</si>
  <si>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</si>
  <si>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</si>
  <si>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</si>
  <si>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</si>
  <si>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</si>
  <si>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</si>
  <si>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</si>
  <si>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</si>
  <si>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</si>
  <si>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</si>
  <si>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</si>
  <si>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</si>
  <si>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</si>
  <si>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</si>
  <si>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</si>
  <si>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</si>
  <si>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</si>
  <si>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</si>
  <si>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</si>
  <si>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</si>
  <si>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</si>
  <si>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</si>
  <si>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</si>
  <si>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</si>
  <si>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</si>
  <si>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</si>
  <si>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</si>
  <si>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</si>
  <si>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</si>
  <si>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</si>
  <si>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</si>
  <si>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</si>
  <si>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</si>
  <si>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</si>
  <si>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</si>
  <si>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</si>
  <si>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</si>
  <si>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</si>
  <si>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</si>
  <si>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</si>
  <si>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</si>
  <si>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</si>
  <si>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</si>
  <si>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</si>
  <si>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</si>
  <si>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</si>
  <si>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</si>
  <si>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</si>
  <si>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</si>
  <si>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</si>
  <si>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</si>
  <si>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</si>
  <si>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</si>
  <si>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</si>
  <si>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</si>
  <si>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</si>
  <si>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</si>
  <si>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</si>
  <si>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</si>
  <si>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</si>
  <si>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</si>
  <si>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</si>
  <si>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</si>
  <si>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</si>
  <si>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</si>
  <si>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</si>
  <si>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</si>
  <si>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</si>
  <si>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</si>
  <si>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</si>
  <si>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</si>
  <si>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</si>
  <si>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</si>
  <si>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</si>
  <si>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</si>
  <si>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</si>
  <si>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</si>
  <si>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</si>
  <si>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</si>
  <si>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</si>
  <si>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</si>
  <si>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</si>
  <si>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</si>
  <si>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</si>
  <si>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</si>
  <si>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</si>
  <si>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</si>
  <si>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</si>
  <si>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</si>
  <si>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</si>
  <si>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</si>
  <si>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</si>
  <si>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</si>
  <si>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</si>
  <si>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</si>
  <si>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</si>
  <si>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</si>
  <si>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</si>
  <si>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</si>
  <si>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</si>
  <si>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</si>
  <si>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</si>
  <si>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</si>
  <si>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</si>
  <si>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</si>
  <si>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</si>
  <si>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</si>
  <si>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</si>
  <si>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</si>
  <si>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</si>
  <si>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</si>
  <si>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</si>
  <si>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</si>
  <si>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</si>
  <si>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</si>
  <si>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</si>
  <si>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</si>
  <si>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</si>
  <si>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</si>
  <si>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</si>
  <si>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</si>
  <si>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</si>
  <si>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</si>
  <si>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</si>
  <si>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</si>
  <si>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</si>
  <si>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</si>
  <si>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</si>
  <si>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</si>
  <si>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</si>
  <si>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</si>
  <si>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</si>
  <si>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</si>
  <si>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</si>
  <si>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</si>
  <si>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</si>
  <si>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</si>
  <si>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</si>
  <si>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</si>
  <si>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</si>
  <si>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</si>
  <si>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</si>
  <si>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</si>
  <si>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</si>
  <si>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</si>
  <si>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</si>
  <si>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</si>
  <si>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</si>
  <si>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</si>
  <si>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</si>
  <si>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</si>
  <si>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</si>
  <si>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</si>
  <si>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</si>
  <si>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</si>
  <si>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</si>
  <si>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</si>
  <si>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</si>
  <si>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</si>
  <si>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</si>
  <si>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</si>
  <si>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</si>
  <si>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</si>
  <si>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</si>
  <si>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</si>
  <si>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</si>
  <si>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</si>
  <si>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</si>
  <si>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</si>
  <si>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</si>
  <si>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</si>
  <si>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</si>
  <si>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</si>
  <si>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</si>
  <si>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</si>
  <si>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</si>
  <si>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</si>
  <si>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</si>
  <si>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</si>
  <si>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</si>
  <si>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</si>
  <si>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</si>
  <si>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</si>
  <si>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</si>
  <si>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</si>
  <si>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</si>
  <si>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</si>
  <si>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</si>
  <si>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</si>
  <si>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</si>
  <si>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</si>
  <si>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</si>
  <si>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</si>
  <si>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</si>
  <si>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</si>
  <si>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</si>
  <si>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</si>
  <si>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</si>
  <si>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</si>
  <si>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</si>
  <si>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</si>
  <si>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</si>
  <si>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</si>
  <si>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</si>
  <si>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</si>
  <si>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</si>
  <si>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</si>
  <si>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</si>
  <si>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</si>
  <si>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</si>
  <si>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</si>
  <si>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</si>
  <si>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</si>
  <si>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</si>
  <si>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</si>
  <si>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</si>
  <si>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</si>
  <si>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</si>
  <si>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</si>
  <si>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</si>
  <si>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</si>
  <si>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</si>
  <si>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</si>
  <si>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</si>
  <si>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</si>
  <si>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</si>
  <si>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</si>
  <si>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</si>
  <si>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</si>
  <si>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</si>
  <si>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</si>
  <si>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</si>
  <si>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</si>
  <si>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</si>
  <si>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</si>
  <si>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</si>
  <si>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</si>
  <si>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</si>
  <si>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</si>
  <si>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</si>
  <si>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</si>
  <si>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</si>
  <si>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</si>
  <si>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</si>
  <si>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</si>
  <si>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</si>
  <si>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</si>
  <si>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</si>
  <si>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</si>
  <si>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</si>
  <si>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</si>
  <si>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</si>
  <si>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</si>
  <si>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</si>
  <si>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</si>
  <si>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</si>
  <si>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</si>
  <si>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</si>
  <si>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</si>
  <si>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</si>
  <si>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</si>
  <si>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</si>
  <si>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</si>
  <si>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</si>
  <si>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</si>
  <si>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</si>
  <si>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</si>
  <si>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</si>
  <si>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</si>
  <si>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</si>
  <si>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</si>
  <si>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</si>
  <si>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</si>
  <si>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</si>
  <si>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</si>
  <si>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</si>
  <si>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</si>
  <si>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</si>
  <si>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</si>
  <si>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</si>
  <si>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</si>
  <si>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</si>
  <si>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</si>
  <si>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</si>
  <si>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</si>
  <si>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</si>
  <si>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 Y LEON</t>
  </si>
  <si>
    <t>Provincias</t>
  </si>
  <si>
    <t>LEON</t>
  </si>
  <si>
    <t>Resumenes por Partidos Judiciales</t>
  </si>
  <si>
    <t>PONFERRADA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</si>
</sst>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qHT973AyRMp1ZwT/FyUdYz+Kjb9X1XUz8PFgFe0/3S/g2Mg8lhcfJMewlY21L5Zoizj0LnbNNgvNRdepDK66kw==" saltValue="Lc/KRpvbz9k8+oZeim8KI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5</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30.04943273905997</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24</v>
      </c>
      <c r="D10" s="229">
        <f>IF(ISNUMBER(Datos!I10),Datos!I10," - ")</f>
        <v>24</v>
      </c>
      <c r="E10" s="230">
        <f>IF(ISNUMBER(Datos!J10),Datos!J10," - ")</f>
        <v>8</v>
      </c>
      <c r="F10" s="230">
        <f>IF(ISNUMBER(Datos!K10),Datos!K10," - ")</f>
        <v>12</v>
      </c>
      <c r="G10" s="1189" t="str">
        <f>IF(Datos!E10&lt;&gt;"",Datos!E10,Datos!D10)</f>
        <v>37</v>
      </c>
      <c r="H10" s="231">
        <f>IF(ISNUMBER(Datos!L10),Datos!L10," - ")</f>
        <v>20</v>
      </c>
      <c r="I10" s="1199" t="str">
        <f>IF(ISNUMBER(Datos!AS10/Datos!BM10),Datos!AS10/Datos!BM10," - ")</f>
        <v xml:space="preserve"> - </v>
      </c>
      <c r="J10" s="1200">
        <f>IF(ISNUMBER(Datos!BY10/Datos!CN10),Datos!BY10/Datos!CN10," - ")</f>
        <v>0</v>
      </c>
      <c r="K10" s="234">
        <f t="shared" ref="K10:K12" si="1">IF(ISNUMBER((E10-F10)/C10),(E10-F10)/C10," - ")</f>
        <v>-0.16666666666666666</v>
      </c>
      <c r="L10" s="1201">
        <f>IF(ISNUMBER(NºAsuntos!I10/NºAsuntos!G10),(NºAsuntos!I10/NºAsuntos!G10)*11," - ")</f>
        <v>18.333333333333336</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24</v>
      </c>
      <c r="D13" s="1206">
        <f>SUBTOTAL(9,D9:D12)</f>
        <v>24</v>
      </c>
      <c r="E13" s="1207">
        <f>SUBTOTAL(9,E9:E12)</f>
        <v>8</v>
      </c>
      <c r="F13" s="1208">
        <f>SUBTOTAL(9,F9:F12)</f>
        <v>12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3</v>
      </c>
      <c r="B15" s="1254" t="str">
        <f>Datos!A15</f>
        <v xml:space="preserve">Jdos. Instrucción                               </v>
      </c>
      <c r="C15" s="229">
        <f t="shared" ref="C15:C17" si="2">IF(ISNUMBER(H15-E15+F15),H15-E15+F15," - ")</f>
        <v>1355</v>
      </c>
      <c r="D15" s="229">
        <f>IF(ISNUMBER(IF(D_I="SI",Datos!I15,Datos!I15+Datos!AC15)),IF(D_I="SI",Datos!I15,Datos!I15+Datos!AC15)," - ")</f>
        <v>1317</v>
      </c>
      <c r="E15" s="230">
        <f>IF(ISNUMBER(IF(D_I="SI",Datos!J15,Datos!J15+Datos!AD15)),IF(D_I="SI",Datos!J15,Datos!J15+Datos!AD15)," - ")</f>
        <v>1359</v>
      </c>
      <c r="F15" s="230">
        <f>IF(ISNUMBER(IF(D_I="SI",Datos!K15,Datos!K15+Datos!AE15)),IF(D_I="SI",Datos!K15,Datos!K15+Datos!AE15)," - ")</f>
        <v>1040</v>
      </c>
      <c r="G15" s="1189" t="str">
        <f>IF(Datos!E15&lt;&gt;"",Datos!E15,Datos!D15)</f>
        <v>03</v>
      </c>
      <c r="H15" s="231">
        <f>IF(ISNUMBER(IF(D_I="SI",Datos!L15,Datos!L15+Datos!AF15)),IF(D_I="SI",Datos!L15,Datos!L15+Datos!AF15)," - ")</f>
        <v>1674</v>
      </c>
      <c r="I15" s="1199" t="str">
        <f>IF(ISNUMBER(Datos!AS15/Datos!BM15),Datos!AS15/Datos!BM15," - ")</f>
        <v xml:space="preserve"> - </v>
      </c>
      <c r="J15" s="1200">
        <f>IF(ISNUMBER(Datos!BY15/Datos!CN15),Datos!BY15/Datos!CN15," - ")</f>
        <v>0</v>
      </c>
      <c r="K15" s="234">
        <f t="shared" ref="K15:K17" si="3">IF(ISNUMBER((E15-F15)/C15),(E15-F15)/C15," - ")</f>
        <v>0.23542435424354244</v>
      </c>
      <c r="L15" s="1201">
        <f>IF(ISNUMBER(NºAsuntos!I15/NºAsuntos!G15),(NºAsuntos!I15/NºAsuntos!G15)*11," - ")</f>
        <v>17.705769230769231</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153</v>
      </c>
      <c r="D17" s="229">
        <f>IF(ISNUMBER(IF(D_I="SI",Datos!I17,Datos!I17+Datos!AC17)),IF(D_I="SI",Datos!I17,Datos!I17+Datos!AC17)," - ")</f>
        <v>153</v>
      </c>
      <c r="E17" s="230">
        <f>IF(ISNUMBER(IF(D_I="SI",Datos!J17,Datos!J17+Datos!AD17)),IF(D_I="SI",Datos!J17,Datos!J17+Datos!AD17)," - ")</f>
        <v>94</v>
      </c>
      <c r="F17" s="230">
        <f>IF(ISNUMBER(IF(D_I="SI",Datos!K17,Datos!K17+Datos!AE17)),IF(D_I="SI",Datos!K17,Datos!K17+Datos!AE17)," - ")</f>
        <v>53</v>
      </c>
      <c r="G17" s="1189" t="str">
        <f>IF(Datos!E17&lt;&gt;"",Datos!E17,Datos!D17)</f>
        <v>37</v>
      </c>
      <c r="H17" s="231">
        <f>IF(ISNUMBER(IF(D_I="SI",Datos!L17,Datos!L17+Datos!AF17)),IF(D_I="SI",Datos!L17,Datos!L17+Datos!AF17)," - ")</f>
        <v>194</v>
      </c>
      <c r="I17" s="1199" t="str">
        <f>IF(ISNUMBER(Datos!AS17/Datos!BM17),Datos!AS17/Datos!BM17," - ")</f>
        <v xml:space="preserve"> - </v>
      </c>
      <c r="J17" s="1200" t="str">
        <f>IF(ISNUMBER((Datos!BY17+Datos!BZ17)/Datos!CN17),(Datos!BY17+Datos!BZ17)/Datos!CN17," - ")</f>
        <v xml:space="preserve"> - </v>
      </c>
      <c r="K17" s="234">
        <f t="shared" si="3"/>
        <v>0.26797385620915032</v>
      </c>
      <c r="L17" s="1201">
        <f>IF(ISNUMBER(NºAsuntos!I17/NºAsuntos!G17),(NºAsuntos!I17/NºAsuntos!G17)*11," - ")</f>
        <v>40.264150943396224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1508</v>
      </c>
      <c r="D18" s="1206">
        <f>SUBTOTAL(9,D15:D17)</f>
        <v>1470</v>
      </c>
      <c r="E18" s="1207">
        <f>SUBTOTAL(9,E15:E17)</f>
        <v>1453</v>
      </c>
      <c r="F18" s="1207">
        <f>SUBTOTAL(9,F15:F17)</f>
        <v>1093</v>
      </c>
      <c r="G18" s="1209" t="str">
        <f ca="1">INDIRECT(CONCATENATE("G",ROW()-1))</f>
        <v>37</v>
      </c>
      <c r="H18" s="1210">
        <f ca="1">SUMIF(G$14:G17,G18,H$14:H17)</f>
        <v>194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1532</v>
      </c>
      <c r="D19" s="1228">
        <f>SUBTOTAL(9,D9:D18)</f>
        <v>1494</v>
      </c>
      <c r="E19" s="1229">
        <f>SUBTOTAL(9,E9:E18)</f>
        <v>1461</v>
      </c>
      <c r="F19" s="1229">
        <f>SUBTOTAL(9,F9:F18)</f>
        <v>1105</v>
      </c>
      <c r="G19" s="1230"/>
      <c r="H19" s="1231">
        <f ca="1">SUMIF(B9:B18,"TOTAL",H9:H18)</f>
        <v>194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hobavewSQzlHLjIuMuEBwmXTjKlcXPNOJfUS3BeEs0HV9nKmeVxesL+FNjlQYf4HlH9MJugBKFHJ37SrI32+7g==" saltValue="nkMwKpS5mRqQFu7h4zCwD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hhq8M8Z6YsOpU3oy4RAU4yi1BbHloWArywNvfviLtKdtqHsPsNInH+NKT0UwJeD1p5GbTIppKc0w1hCCigOUnA==" saltValue="0EzVy0bLyuPnXLtJYchA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v>2813</v>
      </c>
      <c r="J9" s="185">
        <v>1614</v>
      </c>
      <c r="K9" s="185">
        <v>1125</v>
      </c>
      <c r="L9" s="185">
        <v>3302</v>
      </c>
      <c r="M9" s="185">
        <v>292</v>
      </c>
      <c r="N9" s="185">
        <v>418</v>
      </c>
      <c r="O9" s="185">
        <v>426</v>
      </c>
      <c r="P9" s="185">
        <v>223</v>
      </c>
      <c r="Q9" s="185">
        <v>92</v>
      </c>
      <c r="R9" s="185">
        <v>4430</v>
      </c>
      <c r="S9" s="185">
        <v>0</v>
      </c>
      <c r="T9" s="185">
        <v>0</v>
      </c>
      <c r="U9" s="185">
        <v>0</v>
      </c>
      <c r="V9" s="185">
        <v>0</v>
      </c>
      <c r="W9" s="185">
        <v>0</v>
      </c>
      <c r="X9" s="192">
        <v>0</v>
      </c>
      <c r="Y9" s="195">
        <v>74</v>
      </c>
      <c r="Z9" s="185">
        <v>104</v>
      </c>
      <c r="AA9" s="185">
        <v>109</v>
      </c>
      <c r="AB9" s="185">
        <v>69</v>
      </c>
      <c r="AC9" s="185">
        <v>0</v>
      </c>
      <c r="AD9" s="185">
        <v>0</v>
      </c>
      <c r="AE9" s="185">
        <v>0</v>
      </c>
      <c r="AF9" s="192">
        <v>0</v>
      </c>
      <c r="AG9" s="195">
        <v>0</v>
      </c>
      <c r="AH9" s="185">
        <v>0</v>
      </c>
      <c r="AI9" s="185">
        <v>0</v>
      </c>
      <c r="AJ9" s="196">
        <v>0</v>
      </c>
      <c r="AK9" s="184">
        <v>0</v>
      </c>
      <c r="AL9" s="185">
        <v>0</v>
      </c>
      <c r="AM9" s="185">
        <v>0</v>
      </c>
      <c r="AN9" s="192">
        <v>0</v>
      </c>
      <c r="AO9" s="262">
        <v>5</v>
      </c>
      <c r="AP9" s="158">
        <v>5</v>
      </c>
      <c r="AQ9" s="158">
        <v>5</v>
      </c>
      <c r="AR9" s="197">
        <v>5</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f>IF(ISNUMBER(X9),X9," - ")</f>
        <v>0</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24</v>
      </c>
      <c r="J10" s="185">
        <v>8</v>
      </c>
      <c r="K10" s="185">
        <v>12</v>
      </c>
      <c r="L10" s="185">
        <v>20</v>
      </c>
      <c r="M10" s="185">
        <v>5</v>
      </c>
      <c r="N10" s="185">
        <v>3</v>
      </c>
      <c r="O10" s="185">
        <v>1</v>
      </c>
      <c r="P10" s="185">
        <v>0</v>
      </c>
      <c r="Q10" s="185">
        <v>0</v>
      </c>
      <c r="R10" s="185">
        <v>43</v>
      </c>
      <c r="S10" s="185">
        <v>29</v>
      </c>
      <c r="T10" s="185">
        <v>8</v>
      </c>
      <c r="U10" s="185">
        <v>18</v>
      </c>
      <c r="V10" s="185">
        <v>19</v>
      </c>
      <c r="W10" s="185">
        <v>12</v>
      </c>
      <c r="X10" s="192">
        <v>3</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29</v>
      </c>
      <c r="AZ10" s="130">
        <f t="shared" si="0"/>
        <v>8</v>
      </c>
      <c r="BA10" s="130">
        <f t="shared" si="0"/>
        <v>18</v>
      </c>
      <c r="BB10" s="130">
        <f t="shared" si="0"/>
        <v>19</v>
      </c>
      <c r="BC10" s="126">
        <f t="shared" si="0"/>
        <v>12</v>
      </c>
      <c r="BD10" s="127">
        <f>IF(ISNUMBER(BA10/AZ10),BA10/AZ10," - ")</f>
        <v>2.25</v>
      </c>
      <c r="BE10" s="128">
        <f>IF(ISNUMBER(BB10/BA10),BB10/BA10, " - ")</f>
        <v>1.0555555555555556</v>
      </c>
      <c r="BF10" s="128">
        <f>IF(ISNUMBER(BC10/BA10),BC10/BA10, " - ")</f>
        <v>0.66666666666666663</v>
      </c>
      <c r="BG10" s="200">
        <f>IF(ISNUMBER((AY10+AZ10)/BA10),(AY10+AZ10)/BA10," - ")</f>
        <v>2.0555555555555554</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8</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2837</v>
      </c>
      <c r="J13" s="188">
        <f t="shared" si="6"/>
        <v>1622</v>
      </c>
      <c r="K13" s="188">
        <f t="shared" si="6"/>
        <v>1137</v>
      </c>
      <c r="L13" s="188">
        <f t="shared" si="6"/>
        <v>3322</v>
      </c>
      <c r="M13" s="188">
        <f t="shared" si="6"/>
        <v>297</v>
      </c>
      <c r="N13" s="188">
        <f t="shared" si="6"/>
        <v>421</v>
      </c>
      <c r="O13" s="188">
        <f t="shared" si="6"/>
        <v>427</v>
      </c>
      <c r="P13" s="188">
        <f t="shared" si="6"/>
        <v>223</v>
      </c>
      <c r="Q13" s="188">
        <f t="shared" si="6"/>
        <v>92</v>
      </c>
      <c r="R13" s="188">
        <f t="shared" si="6"/>
        <v>4473</v>
      </c>
      <c r="S13" s="188">
        <f t="shared" si="6"/>
        <v>29</v>
      </c>
      <c r="T13" s="188">
        <f t="shared" si="6"/>
        <v>8</v>
      </c>
      <c r="U13" s="188">
        <f t="shared" si="6"/>
        <v>18</v>
      </c>
      <c r="V13" s="188">
        <f t="shared" si="6"/>
        <v>19</v>
      </c>
      <c r="W13" s="188">
        <f t="shared" si="6"/>
        <v>12</v>
      </c>
      <c r="X13" s="188">
        <f t="shared" si="6"/>
        <v>3</v>
      </c>
      <c r="Y13" s="188">
        <f t="shared" si="6"/>
        <v>74</v>
      </c>
      <c r="Z13" s="188">
        <f t="shared" si="6"/>
        <v>104</v>
      </c>
      <c r="AA13" s="188">
        <f t="shared" si="6"/>
        <v>109</v>
      </c>
      <c r="AB13" s="188">
        <f t="shared" si="6"/>
        <v>69</v>
      </c>
      <c r="AC13" s="188">
        <f t="shared" si="6"/>
        <v>0</v>
      </c>
      <c r="AD13" s="188">
        <f t="shared" si="6"/>
        <v>0</v>
      </c>
      <c r="AE13" s="188">
        <f t="shared" si="6"/>
        <v>0</v>
      </c>
      <c r="AF13" s="188">
        <f>SUBTOTAL(9,AF9:AF12)</f>
        <v>0</v>
      </c>
      <c r="AG13" s="188">
        <f t="shared" ref="AG13:AT13" si="7">SUBTOTAL(9,AG8:AG12)</f>
        <v>0</v>
      </c>
      <c r="AH13" s="188">
        <f t="shared" si="7"/>
        <v>0</v>
      </c>
      <c r="AI13" s="188">
        <f t="shared" si="7"/>
        <v>0</v>
      </c>
      <c r="AJ13" s="188">
        <f t="shared" si="7"/>
        <v>0</v>
      </c>
      <c r="AK13" s="188">
        <f t="shared" si="7"/>
        <v>0</v>
      </c>
      <c r="AL13" s="188">
        <f t="shared" si="7"/>
        <v>0</v>
      </c>
      <c r="AM13" s="188">
        <f t="shared" si="7"/>
        <v>0</v>
      </c>
      <c r="AN13" s="188">
        <f t="shared" si="7"/>
        <v>0</v>
      </c>
      <c r="AO13" s="188">
        <f t="shared" si="7"/>
        <v>6</v>
      </c>
      <c r="AP13" s="188">
        <f t="shared" si="7"/>
        <v>5</v>
      </c>
      <c r="AQ13" s="188">
        <f t="shared" si="7"/>
        <v>5</v>
      </c>
      <c r="AR13" s="188">
        <f t="shared" si="7"/>
        <v>5</v>
      </c>
      <c r="AS13" s="188">
        <f t="shared" si="7"/>
        <v>0</v>
      </c>
      <c r="AT13" s="188">
        <f t="shared" si="7"/>
        <v>0</v>
      </c>
      <c r="AU13" s="208"/>
      <c r="AV13" s="133"/>
      <c r="AW13" s="208"/>
      <c r="AX13" s="133"/>
      <c r="AY13" s="188">
        <f>SUBTOTAL(9,AY8:AY12)</f>
        <v>29</v>
      </c>
      <c r="AZ13" s="188">
        <f>SUBTOTAL(9,AZ8:AZ12)</f>
        <v>8</v>
      </c>
      <c r="BA13" s="188">
        <f>SUBTOTAL(9,BA8:BA12)</f>
        <v>18</v>
      </c>
      <c r="BB13" s="188">
        <f>SUBTOTAL(9,BB8:BB12)</f>
        <v>19</v>
      </c>
      <c r="BC13" s="188">
        <f>SUBTOTAL(9,BC8:BC12)</f>
        <v>12</v>
      </c>
      <c r="BD13" s="209">
        <f>IF(ISNUMBER(BA13/AZ13),BA13/AZ13," - ")</f>
        <v>2.25</v>
      </c>
      <c r="BE13" s="210">
        <f>IF(ISNUMBER(BB13/BA13),BB13/BA13, " - ")</f>
        <v>1.0555555555555556</v>
      </c>
      <c r="BF13" s="210">
        <f>IF(ISNUMBER(BC13/BA13),BC13/BA13, " - ")</f>
        <v>0.66666666666666663</v>
      </c>
      <c r="BG13" s="211">
        <f>IF(ISNUMBER((AY13+AZ13)/BA13),(AY13+AZ13)/BA13," - ")</f>
        <v>2.0555555555555554</v>
      </c>
      <c r="BH13" s="144">
        <f>SUBTOTAL(9,BH8:BH12)</f>
        <v>9</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1317</v>
      </c>
      <c r="J15" s="187">
        <v>1359</v>
      </c>
      <c r="K15" s="187">
        <v>1040</v>
      </c>
      <c r="L15" s="187">
        <v>1674</v>
      </c>
      <c r="M15" s="187">
        <v>96</v>
      </c>
      <c r="N15" s="187">
        <v>808</v>
      </c>
      <c r="O15" s="185">
        <v>18</v>
      </c>
      <c r="P15" s="187">
        <v>11</v>
      </c>
      <c r="Q15" s="187">
        <v>20</v>
      </c>
      <c r="R15" s="187">
        <v>236</v>
      </c>
      <c r="S15" s="187">
        <v>0</v>
      </c>
      <c r="T15" s="187">
        <v>0</v>
      </c>
      <c r="U15" s="187">
        <v>0</v>
      </c>
      <c r="V15" s="187">
        <v>0</v>
      </c>
      <c r="W15" s="187">
        <v>0</v>
      </c>
      <c r="X15" s="193">
        <v>0</v>
      </c>
      <c r="Y15" s="206">
        <v>0</v>
      </c>
      <c r="Z15" s="187">
        <v>0</v>
      </c>
      <c r="AA15" s="187">
        <v>0</v>
      </c>
      <c r="AB15" s="187">
        <v>0</v>
      </c>
      <c r="AC15" s="187">
        <v>0</v>
      </c>
      <c r="AD15" s="187">
        <v>0</v>
      </c>
      <c r="AE15" s="187">
        <v>0</v>
      </c>
      <c r="AF15" s="193">
        <v>0</v>
      </c>
      <c r="AG15" s="206">
        <v>0</v>
      </c>
      <c r="AH15" s="187">
        <v>0</v>
      </c>
      <c r="AI15" s="187">
        <v>0</v>
      </c>
      <c r="AJ15" s="207">
        <v>0</v>
      </c>
      <c r="AK15" s="186">
        <v>0</v>
      </c>
      <c r="AL15" s="187">
        <v>0</v>
      </c>
      <c r="AM15" s="187">
        <v>0</v>
      </c>
      <c r="AN15" s="193">
        <v>0</v>
      </c>
      <c r="AO15" s="263">
        <v>3</v>
      </c>
      <c r="AP15" s="159">
        <v>3</v>
      </c>
      <c r="AQ15" s="159">
        <v>3</v>
      </c>
      <c r="AR15" s="159">
        <v>3</v>
      </c>
      <c r="AS15" s="349" t="s">
        <v>531</v>
      </c>
      <c r="AT15" s="207" t="s">
        <v>329</v>
      </c>
      <c r="AU15" s="206"/>
      <c r="AV15" s="207"/>
      <c r="AW15" s="206"/>
      <c r="AX15" s="207"/>
      <c r="AY15" s="129">
        <f t="shared" ref="AY15:BB16" si="9">IF(ISNUMBER(IF(D_I="SI",S15,S15+AK15)),IF(D_I="SI",S15,S15+AK15)," - ")</f>
        <v>0</v>
      </c>
      <c r="AZ15" s="130">
        <f t="shared" si="9"/>
        <v>0</v>
      </c>
      <c r="BA15" s="130">
        <f t="shared" si="9"/>
        <v>0</v>
      </c>
      <c r="BB15" s="130">
        <f t="shared" si="9"/>
        <v>0</v>
      </c>
      <c r="BC15" s="126">
        <f>IF(ISNUMBER(W15),W15," - ")</f>
        <v>0</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8</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153</v>
      </c>
      <c r="J17" s="187">
        <v>94</v>
      </c>
      <c r="K17" s="187">
        <v>53</v>
      </c>
      <c r="L17" s="187">
        <v>194</v>
      </c>
      <c r="M17" s="187">
        <v>7</v>
      </c>
      <c r="N17" s="187">
        <v>64</v>
      </c>
      <c r="O17" s="187">
        <v>0</v>
      </c>
      <c r="P17" s="187">
        <v>0</v>
      </c>
      <c r="Q17" s="187">
        <v>0</v>
      </c>
      <c r="R17" s="187">
        <v>3</v>
      </c>
      <c r="S17" s="187">
        <v>88</v>
      </c>
      <c r="T17" s="187">
        <v>89</v>
      </c>
      <c r="U17" s="187">
        <v>91</v>
      </c>
      <c r="V17" s="187">
        <v>86</v>
      </c>
      <c r="W17" s="187">
        <v>7</v>
      </c>
      <c r="X17" s="193">
        <v>57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88</v>
      </c>
      <c r="AZ17" s="130">
        <f t="shared" si="14"/>
        <v>89</v>
      </c>
      <c r="BA17" s="130">
        <f t="shared" si="14"/>
        <v>91</v>
      </c>
      <c r="BB17" s="130">
        <f t="shared" si="14"/>
        <v>86</v>
      </c>
      <c r="BC17" s="126">
        <f>IF(ISNUMBER(W17),W17," - ")</f>
        <v>7</v>
      </c>
      <c r="BD17" s="127">
        <f>IF(ISNUMBER(BA17/AZ17),BA17/AZ17," - ")</f>
        <v>1.0224719101123596</v>
      </c>
      <c r="BE17" s="128">
        <f>IF(ISNUMBER(BB17/BA17),BB17/BA17, " - ")</f>
        <v>0.94505494505494503</v>
      </c>
      <c r="BF17" s="128">
        <f>IF(ISNUMBER(BC17/BA17),BC17/BA17, " - ")</f>
        <v>7.6923076923076927E-2</v>
      </c>
      <c r="BG17" s="200">
        <f>IF(ISNUMBER((AY17+AZ17)/BA17),(AY17+AZ17)/BA17," - ")</f>
        <v>1.945054945054945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1470</v>
      </c>
      <c r="J18" s="188">
        <f t="shared" si="15"/>
        <v>1453</v>
      </c>
      <c r="K18" s="188">
        <f t="shared" si="15"/>
        <v>1093</v>
      </c>
      <c r="L18" s="188">
        <f t="shared" si="15"/>
        <v>1868</v>
      </c>
      <c r="M18" s="188">
        <f t="shared" si="15"/>
        <v>103</v>
      </c>
      <c r="N18" s="188">
        <f t="shared" si="15"/>
        <v>872</v>
      </c>
      <c r="O18" s="188">
        <f t="shared" si="15"/>
        <v>18</v>
      </c>
      <c r="P18" s="188">
        <f t="shared" si="15"/>
        <v>11</v>
      </c>
      <c r="Q18" s="188">
        <f t="shared" si="15"/>
        <v>20</v>
      </c>
      <c r="R18" s="188">
        <f t="shared" si="15"/>
        <v>239</v>
      </c>
      <c r="S18" s="188">
        <f t="shared" si="15"/>
        <v>88</v>
      </c>
      <c r="T18" s="188">
        <f t="shared" si="15"/>
        <v>89</v>
      </c>
      <c r="U18" s="188">
        <f t="shared" si="15"/>
        <v>91</v>
      </c>
      <c r="V18" s="188">
        <f t="shared" si="15"/>
        <v>86</v>
      </c>
      <c r="W18" s="188">
        <f t="shared" si="15"/>
        <v>7</v>
      </c>
      <c r="X18" s="188">
        <f t="shared" si="15"/>
        <v>57</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88</v>
      </c>
      <c r="AZ18" s="188">
        <f>SUBTOTAL(9,AZ14:AZ17)</f>
        <v>89</v>
      </c>
      <c r="BA18" s="188">
        <f>SUBTOTAL(9,BA14:BA17)</f>
        <v>91</v>
      </c>
      <c r="BB18" s="188">
        <f>SUBTOTAL(9,BB14:BB17)</f>
        <v>86</v>
      </c>
      <c r="BC18" s="188">
        <f>SUBTOTAL(9,BC14:BC17)</f>
        <v>7</v>
      </c>
      <c r="BD18" s="209">
        <f>IF(ISNUMBER(BA18/AZ18),BA18/AZ18," - ")</f>
        <v>1.0224719101123596</v>
      </c>
      <c r="BE18" s="210">
        <f>IF(ISNUMBER(BB18/BA18),BB18/BA18, " - ")</f>
        <v>0.94505494505494503</v>
      </c>
      <c r="BF18" s="210">
        <f>IF(ISNUMBER(BC18/BA18),BC18/BA18, " - ")</f>
        <v>7.6923076923076927E-2</v>
      </c>
      <c r="BG18" s="211">
        <f>IF(ISNUMBER((AY18+AZ18)/BA18),(AY18+AZ18)/BA18," - ")</f>
        <v>1.945054945054945</v>
      </c>
      <c r="BH18" s="188">
        <f>SUBTOTAL(9,BH14:BH17)</f>
        <v>9</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4307</v>
      </c>
      <c r="J19" s="135">
        <f t="shared" si="18"/>
        <v>3075</v>
      </c>
      <c r="K19" s="135">
        <f t="shared" si="18"/>
        <v>2230</v>
      </c>
      <c r="L19" s="135">
        <f t="shared" si="18"/>
        <v>5190</v>
      </c>
      <c r="M19" s="135">
        <f t="shared" si="18"/>
        <v>400</v>
      </c>
      <c r="N19" s="135">
        <f t="shared" si="18"/>
        <v>1293</v>
      </c>
      <c r="O19" s="135">
        <f t="shared" si="18"/>
        <v>445</v>
      </c>
      <c r="P19" s="135">
        <f t="shared" si="18"/>
        <v>234</v>
      </c>
      <c r="Q19" s="135">
        <f t="shared" si="18"/>
        <v>112</v>
      </c>
      <c r="R19" s="135">
        <f t="shared" si="18"/>
        <v>4712</v>
      </c>
      <c r="S19" s="135">
        <f t="shared" si="18"/>
        <v>117</v>
      </c>
      <c r="T19" s="135">
        <f t="shared" si="18"/>
        <v>97</v>
      </c>
      <c r="U19" s="135">
        <f t="shared" si="18"/>
        <v>109</v>
      </c>
      <c r="V19" s="135">
        <f t="shared" si="18"/>
        <v>105</v>
      </c>
      <c r="W19" s="135">
        <f t="shared" si="18"/>
        <v>19</v>
      </c>
      <c r="X19" s="135">
        <f t="shared" si="18"/>
        <v>60</v>
      </c>
      <c r="Y19" s="135">
        <f t="shared" si="18"/>
        <v>74</v>
      </c>
      <c r="Z19" s="135">
        <f t="shared" si="18"/>
        <v>104</v>
      </c>
      <c r="AA19" s="135">
        <f t="shared" si="18"/>
        <v>109</v>
      </c>
      <c r="AB19" s="135">
        <f t="shared" si="18"/>
        <v>69</v>
      </c>
      <c r="AC19" s="135">
        <f t="shared" si="18"/>
        <v>0</v>
      </c>
      <c r="AD19" s="135">
        <f t="shared" si="18"/>
        <v>0</v>
      </c>
      <c r="AE19" s="135">
        <f t="shared" si="18"/>
        <v>0</v>
      </c>
      <c r="AF19" s="135">
        <f t="shared" si="18"/>
        <v>0</v>
      </c>
      <c r="AG19" s="135">
        <f t="shared" si="18"/>
        <v>0</v>
      </c>
      <c r="AH19" s="135">
        <f t="shared" si="18"/>
        <v>0</v>
      </c>
      <c r="AI19" s="135">
        <f t="shared" si="18"/>
        <v>0</v>
      </c>
      <c r="AJ19" s="135">
        <f t="shared" si="18"/>
        <v>0</v>
      </c>
      <c r="AK19" s="135">
        <f t="shared" si="18"/>
        <v>0</v>
      </c>
      <c r="AL19" s="135">
        <f t="shared" si="18"/>
        <v>0</v>
      </c>
      <c r="AM19" s="135">
        <f t="shared" si="18"/>
        <v>0</v>
      </c>
      <c r="AN19" s="214">
        <f t="shared" si="18"/>
        <v>0</v>
      </c>
      <c r="AO19" s="215">
        <v>9</v>
      </c>
      <c r="AP19" s="215">
        <v>8</v>
      </c>
      <c r="AQ19" s="215">
        <v>8</v>
      </c>
      <c r="AR19" s="215">
        <v>8</v>
      </c>
      <c r="AS19" s="157">
        <f t="shared" si="18"/>
        <v>0</v>
      </c>
      <c r="AT19" s="157">
        <f t="shared" si="18"/>
        <v>0</v>
      </c>
      <c r="AU19" s="215"/>
      <c r="AV19" s="216"/>
      <c r="AW19" s="215"/>
      <c r="AX19" s="216"/>
      <c r="AY19" s="134">
        <f>SUBTOTAL(9,AY9:AY18)</f>
        <v>117</v>
      </c>
      <c r="AZ19" s="135">
        <f>SUBTOTAL(9,AZ9:AZ18)</f>
        <v>97</v>
      </c>
      <c r="BA19" s="135">
        <f>SUBTOTAL(9,BA9:BA18)</f>
        <v>109</v>
      </c>
      <c r="BB19" s="135">
        <f>SUBTOTAL(9,BB9:BB18)</f>
        <v>105</v>
      </c>
      <c r="BC19" s="136">
        <f>SUBTOTAL(9,BC9:BC18)</f>
        <v>19</v>
      </c>
      <c r="BD19" s="217">
        <f>IF(ISNUMBER(BA19/AZ19),BA19/AZ19," - ")</f>
        <v>1.1237113402061856</v>
      </c>
      <c r="BE19" s="214">
        <f>IF(ISNUMBER(BB19/BA19),BB19/BA19, " - ")</f>
        <v>0.96330275229357798</v>
      </c>
      <c r="BF19" s="214">
        <f>IF(ISNUMBER(BC19/BA19),BC19/BA19, " - ")</f>
        <v>0.1743119266055046</v>
      </c>
      <c r="BG19" s="136">
        <f>IF(ISNUMBER((AY19+AZ19)/BA19),(AY19+AZ19)/BA19," - ")</f>
        <v>1.963302752293578</v>
      </c>
      <c r="BH19" s="215">
        <f>SUBTOTAL(9,BH9:BH18)</f>
        <v>18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CHi3pPGOqOl6QtomnVbvycglSFluUVXCMm2WlXSYaerBkFtOt+r8orAyhx64yZ/j2eQC6rF7nVG0PArLkUqfw==" saltValue="mw5w69nhdxFkvmrNmHWUC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GcAug6csMdvcecIyzaihDaEQAMiWTJJD0jhREZU/0v94V+WxFZgLFz6NpyNiHvtKr5WePc38qsWxgr/eKjECw==" saltValue="FDdictE9WYgPHQxMpUn2U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LEON  Resumenes por Partidos Judiciales  PONFERRADA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5</v>
      </c>
      <c r="B9" s="652" t="s">
        <v>249</v>
      </c>
      <c r="C9" s="670" t="str">
        <f>Datos!A9</f>
        <v xml:space="preserve">Jdos. 1ª Instancia   </v>
      </c>
      <c r="D9" s="543"/>
      <c r="E9" s="669">
        <f>IF(ISNUMBER(Datos!AQ9),Datos!AQ9," - ")</f>
        <v>5</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104</v>
      </c>
      <c r="O9" s="503"/>
      <c r="P9" s="503"/>
      <c r="Q9" s="501">
        <f>IF(ISNUMBER(Datos!P9),Datos!P9,0)</f>
        <v>223</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92</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69</v>
      </c>
      <c r="AI9" s="503" t="str">
        <f>IF(ISNUMBER(Datos!CD9),Datos!CD9,"-")</f>
        <v>-</v>
      </c>
      <c r="AJ9" s="503" t="str">
        <f>IF(ISNUMBER(Datos!EN9),Datos!EN9," - ")</f>
        <v xml:space="preserve"> - </v>
      </c>
      <c r="AK9" s="503"/>
      <c r="AL9" s="504"/>
      <c r="AM9" s="671">
        <f>IF(ISNUMBER(Datos!R9),Datos!R9," - ")</f>
        <v>4430</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292</v>
      </c>
      <c r="BD9" s="619">
        <f>IF(ISNUMBER(Datos!N9),Datos!N9," - ")</f>
        <v>418</v>
      </c>
      <c r="BE9" s="619" t="str">
        <f>IF(ISNUMBER(Datos!BW9),Datos!BW9," - ")</f>
        <v xml:space="preserve"> - </v>
      </c>
      <c r="BF9" s="667" t="str">
        <f>IF(ISNUMBER(Datos!BX9),Datos!BX9," - ")</f>
        <v xml:space="preserve"> - </v>
      </c>
      <c r="BG9" s="668">
        <f>IF(ISNUMBER(IF(J_V="SI",Datos!K9/Datos!J9,(Datos!K9+Datos!AA9)/(Datos!J9+Datos!Z9))),IF(J_V="SI",Datos!K9/Datos!J9,(Datos!K9+Datos!AA9)/(Datos!J9+Datos!Z9))," - ")</f>
        <v>0.71827706635622812</v>
      </c>
      <c r="BH9" s="669">
        <f>IF(ISNUMBER(((IF(J_V="SI",Datos!L9/Datos!K9,(Datos!L9+Datos!AB9)/(Datos!K9+Datos!AA9)))*11)/factor_trimestre),((IF(J_V="SI",Datos!L9/Datos!K9,(Datos!L9+Datos!AB9)/(Datos!K9+Datos!AA9)))*11)/factor_trimestre," - ")</f>
        <v>5.4635332252836308</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3.0472202837869271E-2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24</v>
      </c>
      <c r="G10" s="497">
        <f>IF(ISNUMBER(Datos!I10),Datos!I10," - ")</f>
        <v>24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12</v>
      </c>
      <c r="AC10" s="501">
        <f>IF(ISNUMBER(Datos!Q10),Datos!Q10," - ")</f>
        <v>0</v>
      </c>
      <c r="AD10" s="503"/>
      <c r="AE10" s="516"/>
      <c r="AF10" s="505">
        <f>IF(ISNUMBER(Datos!L10),Datos!L10,"-")</f>
        <v>20</v>
      </c>
      <c r="AG10" s="503"/>
      <c r="AH10" s="503"/>
      <c r="AI10" s="503"/>
      <c r="AJ10" s="503"/>
      <c r="AK10" s="503"/>
      <c r="AL10" s="504"/>
      <c r="AM10" s="671">
        <f>IF(ISNUMBER(Datos!R10),Datos!R10," - ")</f>
        <v>43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5</v>
      </c>
      <c r="BD10" s="619">
        <f>IF(ISNUMBER(Datos!N10),Datos!N10," - ")</f>
        <v>3</v>
      </c>
      <c r="BE10" s="619" t="str">
        <f>IF(ISNUMBER(Datos!BW10),Datos!BW10," - ")</f>
        <v xml:space="preserve"> - </v>
      </c>
      <c r="BF10" s="667" t="str">
        <f>IF(ISNUMBER(Datos!BX10),Datos!BX10," - ")</f>
        <v xml:space="preserve"> - </v>
      </c>
      <c r="BG10" s="668">
        <f>IF(ISNUMBER(Datos!K10/Datos!J10),Datos!K10/Datos!J10," - ")</f>
        <v>1.5</v>
      </c>
      <c r="BH10" s="669">
        <f>IF(ISNUMBER(((Datos!L10/Datos!K10)*11)/factor_trimestre),((Datos!L10/Datos!K10)*11)/factor_trimestre," - ")</f>
        <v>3.3333333333333339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5</v>
      </c>
      <c r="F13" s="1044">
        <f t="shared" si="0"/>
        <v>24</v>
      </c>
      <c r="G13" s="1044">
        <f t="shared" si="0"/>
        <v>24</v>
      </c>
      <c r="H13" s="1045">
        <f t="shared" si="0"/>
        <v>0</v>
      </c>
      <c r="I13" s="1044">
        <f t="shared" si="0"/>
        <v>0</v>
      </c>
      <c r="J13" s="1013">
        <f t="shared" si="0"/>
        <v>0</v>
      </c>
      <c r="K13" s="1013">
        <f t="shared" si="0"/>
        <v>0</v>
      </c>
      <c r="L13" s="1045">
        <f t="shared" si="0"/>
        <v>0</v>
      </c>
      <c r="M13" s="1045">
        <f t="shared" si="0"/>
        <v>0</v>
      </c>
      <c r="N13" s="1045">
        <f t="shared" si="0"/>
        <v>104</v>
      </c>
      <c r="O13" s="1046">
        <f t="shared" si="0"/>
        <v>0</v>
      </c>
      <c r="P13" s="1046">
        <f t="shared" si="0"/>
        <v>0</v>
      </c>
      <c r="Q13" s="1045">
        <f t="shared" si="0"/>
        <v>223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12</v>
      </c>
      <c r="AC13" s="1045">
        <f t="shared" si="1"/>
        <v>92</v>
      </c>
      <c r="AD13" s="1045">
        <f t="shared" si="1"/>
        <v>0</v>
      </c>
      <c r="AE13" s="1045">
        <f t="shared" si="1"/>
        <v>0</v>
      </c>
      <c r="AF13" s="1045">
        <f t="shared" si="1"/>
        <v>20</v>
      </c>
      <c r="AG13" s="1045">
        <f t="shared" si="1"/>
        <v>0</v>
      </c>
      <c r="AH13" s="1045">
        <f t="shared" si="1"/>
        <v>69</v>
      </c>
      <c r="AI13" s="1045">
        <f t="shared" si="1"/>
        <v>0</v>
      </c>
      <c r="AJ13" s="1045">
        <f t="shared" si="1"/>
        <v>0</v>
      </c>
      <c r="AK13" s="1045">
        <f t="shared" si="1"/>
        <v>0</v>
      </c>
      <c r="AL13" s="1045">
        <f t="shared" si="1"/>
        <v>0</v>
      </c>
      <c r="AM13" s="1045">
        <f t="shared" si="1"/>
        <v>4473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297</v>
      </c>
      <c r="BD13" s="1045">
        <f t="shared" si="1"/>
        <v>421</v>
      </c>
      <c r="BE13" s="1045">
        <f t="shared" si="1"/>
        <v>0</v>
      </c>
      <c r="BF13" s="1045">
        <f t="shared" si="1"/>
        <v>0</v>
      </c>
      <c r="BG13" s="1045">
        <f>IF(ISNUMBER(Datos!K13/Datos!J13),Datos!K13/Datos!J13," - ")</f>
        <v>0.7009864364981504</v>
      </c>
      <c r="BH13" s="1049">
        <f>IF(ISNUMBER(((Datos!L13/Datos!K13)*11)/factor_trimestre),((Datos!L13/Datos!K13)*11)/factor_trimestre," - ")</f>
        <v>5.8434476693051893</v>
      </c>
      <c r="BI13" s="1045">
        <f>IF(ISNUMBER('Resol  Asuntos'!D13/NºAsuntos!G13),'Resol  Asuntos'!D13/NºAsuntos!G13," - ")</f>
        <v>0.23836276083467095</v>
      </c>
      <c r="BJ13" s="1045" t="str">
        <f>IF(ISNUMBER(Datos!CI13/Datos!CJ13),Datos!CI13/Datos!CJ13," - ")</f>
        <v xml:space="preserve"> - </v>
      </c>
      <c r="BK13" s="1045">
        <f>SUBTOTAL(9,BK8:BK12)</f>
        <v>0</v>
      </c>
      <c r="BL13" s="1045">
        <f>IF(ISNUMBER((I13-AB13+L13)/(F13)),(I13-AB13+L13)/(F13)," - ")</f>
        <v>-0.5</v>
      </c>
      <c r="BM13" s="1050">
        <f>SUBTOTAL(9,BM9:BM12)</f>
        <v>3.0472202837869271E-2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3</v>
      </c>
      <c r="B15" s="646" t="s">
        <v>400</v>
      </c>
      <c r="C15" s="656" t="str">
        <f>Datos!A15</f>
        <v xml:space="preserve">Jdos. Instrucción                               </v>
      </c>
      <c r="D15" s="657"/>
      <c r="E15" s="1330">
        <f>IF(ISNUMBER(Datos!AQ15),Datos!AQ15," - ")</f>
        <v>3</v>
      </c>
      <c r="F15" s="647">
        <f>IF(ISNUMBER(AF15+AB15-Datos!J15-L15),AF15+AB15-Datos!J15-L15," - ")</f>
        <v>1355</v>
      </c>
      <c r="G15" s="650">
        <f>IF(ISNUMBER(IF(D_I="SI",Datos!I15,Datos!I15+Datos!AC15)),IF(D_I="SI",Datos!I15,Datos!I15+Datos!AC15)," - ")</f>
        <v>1317</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11</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1040</v>
      </c>
      <c r="AC15" s="230">
        <f>IF(ISNUMBER(Datos!Q15),Datos!Q15," - ")</f>
        <v>20</v>
      </c>
      <c r="AD15" s="343"/>
      <c r="AE15" s="515"/>
      <c r="AF15" s="648">
        <f>IF(ISNUMBER(IF(D_I="SI",Datos!L15,Datos!L15+Datos!AF15)),IF(D_I="SI",Datos!L15,Datos!L15+Datos!AF15)," - ")</f>
        <v>1674</v>
      </c>
      <c r="AG15" s="343"/>
      <c r="AH15" s="343"/>
      <c r="AI15" s="343"/>
      <c r="AJ15" s="503"/>
      <c r="AK15" s="343"/>
      <c r="AL15" s="499"/>
      <c r="AM15" s="344">
        <f>IF(ISNUMBER(Datos!R15),Datos!R15," - ")</f>
        <v>236</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96</v>
      </c>
      <c r="BD15" s="233">
        <f>IF(ISNUMBER(Datos!N15),Datos!N15," - ")</f>
        <v>808</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0.76526857983811625</v>
      </c>
      <c r="BH15" s="669">
        <f>IF(ISNUMBER(((IF(D_I="SI",Datos!L15/Datos!K15,(Datos!L15+Datos!AF15)/(Datos!K15+Datos!AE15)))*11)/factor_trimestre),((IF(D_I="SI",Datos!L15/Datos!K15,(Datos!L15+Datos!AF15)/(Datos!K15+Datos!AE15)))*11)/factor_trimestre," - ")</f>
        <v>3.2192307692307693</v>
      </c>
      <c r="BI15" s="247">
        <f>IF(ISNUMBER('Resol  Asuntos'!D15/NºAsuntos!G15),'Resol  Asuntos'!D15/NºAsuntos!G15," - ")</f>
        <v>9.2307692307692313E-2</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153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53</v>
      </c>
      <c r="AC17" s="501">
        <f>IF(ISNUMBER(Datos!Q17),Datos!Q17," - ")</f>
        <v>0</v>
      </c>
      <c r="AD17" s="503"/>
      <c r="AE17" s="515"/>
      <c r="AF17" s="505">
        <f>IF(ISNUMBER(Datos!L17),Datos!L17,"-")</f>
        <v>194</v>
      </c>
      <c r="AG17" s="503"/>
      <c r="AH17" s="503"/>
      <c r="AI17" s="503"/>
      <c r="AJ17" s="503"/>
      <c r="AK17" s="503"/>
      <c r="AL17" s="504"/>
      <c r="AM17" s="671">
        <f>IF(ISNUMBER(Datos!R17),Datos!R17," - ")</f>
        <v>3</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7</v>
      </c>
      <c r="BD17" s="619">
        <f>IF(ISNUMBER(Datos!N17),Datos!N17," - ")</f>
        <v>64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0.56382978723404253</v>
      </c>
      <c r="BH17" s="669">
        <f>IF(ISNUMBER(((IF(D_I="SI",Datos!L17/Datos!K17,(Datos!L17+Datos!AF17)/(Datos!K17+Datos!AE17)))*11)/factor_trimestre),((IF(D_I="SI",Datos!L17/Datos!K17,(Datos!L17+Datos!AF17)/(Datos!K17+Datos!AE17)))*11)/factor_trimestre," - ")</f>
        <v>7.3207547169811313</v>
      </c>
      <c r="BI17" s="668">
        <f>IF(ISNUMBER('Resol  Asuntos'!D17/NºAsuntos!G17),'Resol  Asuntos'!D17/NºAsuntos!G17," - ")</f>
        <v>0.13207547169811321</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3</v>
      </c>
      <c r="F18" s="1044">
        <f>SUBTOTAL(9,F15:F17)</f>
        <v>1355</v>
      </c>
      <c r="G18" s="1044">
        <f>SUBTOTAL(9,G15:G17)</f>
        <v>1470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1093</v>
      </c>
      <c r="AC18" s="1045">
        <f t="shared" si="4"/>
        <v>20</v>
      </c>
      <c r="AD18" s="1045">
        <f t="shared" si="4"/>
        <v>0</v>
      </c>
      <c r="AE18" s="1045">
        <f t="shared" si="4"/>
        <v>0</v>
      </c>
      <c r="AF18" s="1045">
        <f t="shared" si="4"/>
        <v>1868</v>
      </c>
      <c r="AG18" s="1045">
        <f t="shared" si="4"/>
        <v>0</v>
      </c>
      <c r="AH18" s="1045">
        <f t="shared" si="4"/>
        <v>0</v>
      </c>
      <c r="AI18" s="1045">
        <f t="shared" si="4"/>
        <v>0</v>
      </c>
      <c r="AJ18" s="1045">
        <f t="shared" si="4"/>
        <v>0</v>
      </c>
      <c r="AK18" s="1045">
        <f t="shared" si="4"/>
        <v>0</v>
      </c>
      <c r="AL18" s="1045">
        <f t="shared" si="4"/>
        <v>0</v>
      </c>
      <c r="AM18" s="1045">
        <f t="shared" si="4"/>
        <v>239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103</v>
      </c>
      <c r="BD18" s="1045">
        <f t="shared" si="4"/>
        <v>872</v>
      </c>
      <c r="BE18" s="1045">
        <f t="shared" si="4"/>
        <v>0</v>
      </c>
      <c r="BF18" s="1045">
        <f t="shared" si="4"/>
        <v>0</v>
      </c>
      <c r="BG18" s="1045">
        <f>IF(ISNUMBER(Datos!K18/Datos!J18),Datos!K18/Datos!J18," - ")</f>
        <v>0.75223675154852032</v>
      </c>
      <c r="BH18" s="1049">
        <f>IF(ISNUMBER(((Datos!L18/Datos!K18)*11)/factor_trimestre),((Datos!L18/Datos!K18)*11)/factor_trimestre," - ")</f>
        <v>3.4181152790484903</v>
      </c>
      <c r="BI18" s="1045">
        <f>SUBTOTAL(9,BI15:BI17)</f>
        <v>0.22438316400580552</v>
      </c>
      <c r="BJ18" s="1045">
        <f>SUBTOTAL(9,BJ15:BJ17)</f>
        <v>0</v>
      </c>
      <c r="BK18" s="1045">
        <f>SUBTOTAL(9,BK15:BK17)</f>
        <v>0</v>
      </c>
      <c r="BL18" s="1045">
        <f>IF(ISNUMBER((I18-AB18+L18)/(F18)),(I18-AB18+L18)/(F18)," - ")</f>
        <v>-0.80664206642066416</v>
      </c>
      <c r="BM18" s="1051">
        <f>IF(ISNUMBER((Datos!P18-Datos!Q18)/(Datos!R18-Datos!P18+Datos!Q18)),(Datos!P18-Datos!Q18)/(Datos!R18-Datos!P18+Datos!Q18)," - ")</f>
        <v>-3.6290322580645164E-2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8</v>
      </c>
      <c r="F19" s="966">
        <f t="shared" si="6"/>
        <v>1379</v>
      </c>
      <c r="G19" s="966">
        <f t="shared" si="6"/>
        <v>1494</v>
      </c>
      <c r="H19" s="968">
        <f t="shared" si="6"/>
        <v>0</v>
      </c>
      <c r="I19" s="966">
        <f t="shared" si="6"/>
        <v>0</v>
      </c>
      <c r="J19" s="968">
        <f t="shared" si="6"/>
        <v>0</v>
      </c>
      <c r="K19" s="968">
        <f t="shared" si="6"/>
        <v>0</v>
      </c>
      <c r="L19" s="1027">
        <f t="shared" si="6"/>
        <v>0</v>
      </c>
      <c r="M19" s="1027">
        <f t="shared" si="6"/>
        <v>0</v>
      </c>
      <c r="N19" s="1027">
        <f t="shared" si="6"/>
        <v>104</v>
      </c>
      <c r="O19" s="1027">
        <f t="shared" si="6"/>
        <v>0</v>
      </c>
      <c r="P19" s="1027">
        <f t="shared" si="6"/>
        <v>0</v>
      </c>
      <c r="Q19" s="968">
        <f t="shared" si="6"/>
        <v>234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1105</v>
      </c>
      <c r="AC19" s="967">
        <f t="shared" si="7"/>
        <v>112</v>
      </c>
      <c r="AD19" s="967">
        <f t="shared" si="7"/>
        <v>0</v>
      </c>
      <c r="AE19" s="967">
        <f t="shared" si="7"/>
        <v>0</v>
      </c>
      <c r="AF19" s="974">
        <f t="shared" si="7"/>
        <v>1888</v>
      </c>
      <c r="AG19" s="974">
        <f t="shared" si="7"/>
        <v>0</v>
      </c>
      <c r="AH19" s="974">
        <f t="shared" si="7"/>
        <v>69</v>
      </c>
      <c r="AI19" s="974">
        <f t="shared" si="7"/>
        <v>0</v>
      </c>
      <c r="AJ19" s="967">
        <f t="shared" si="7"/>
        <v>0</v>
      </c>
      <c r="AK19" s="974">
        <f t="shared" si="7"/>
        <v>0</v>
      </c>
      <c r="AL19" s="974">
        <f t="shared" si="7"/>
        <v>0</v>
      </c>
      <c r="AM19" s="974">
        <f t="shared" si="7"/>
        <v>4712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400</v>
      </c>
      <c r="BD19" s="966">
        <f t="shared" si="7"/>
        <v>1293</v>
      </c>
      <c r="BE19" s="966">
        <f t="shared" si="7"/>
        <v>0</v>
      </c>
      <c r="BF19" s="976">
        <f t="shared" si="7"/>
        <v>0</v>
      </c>
      <c r="BG19" s="1061">
        <f>IF(ISNUMBER(Datos!K19/Datos!J19),Datos!K19/Datos!J19," - ")</f>
        <v>0.72520325203252034</v>
      </c>
      <c r="BH19" s="1061">
        <f>IF(ISNUMBER(((Datos!L19/Datos!K19)*11)/factor_trimestre),((Datos!L19/Datos!K19)*11)/factor_trimestre," - ")</f>
        <v>4.6547085201793719</v>
      </c>
      <c r="BI19" s="959">
        <f>IF(ISNUMBER(Datos!J19/Datos!I19),Datos!J19/Datos!I19," - ")</f>
        <v>0.71395402832598098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-0.8013052936910805</v>
      </c>
      <c r="BM19" s="1035">
        <f>IF(ISNUMBER((Datos!P19-Datos!Q19+R19)/(Datos!R19-Datos!P19+Datos!Q19-R19)),(Datos!P19-Datos!Q19+R19)/(Datos!R19-Datos!P19+Datos!Q19-R19)," - ")</f>
        <v>2.6579520697167756E-2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597.6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2.2236106773543889</v>
      </c>
      <c r="F21" s="599">
        <f>IF(ISNUMBER(STDEV(F8:F18)),STDEV(F8:F18),"-")</f>
        <v>768.45320829139189</v>
      </c>
      <c r="G21" s="600">
        <f>IF(ISNUMBER(STDEV(G8:G18)),STDEV(G8:G18),"-")</f>
        <v>730.46581028820242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570.64130590065065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131.68548388743031</v>
      </c>
      <c r="BD21" s="599"/>
      <c r="BE21" s="599">
        <f>IF(ISNUMBER(STDEV(BE8:BE18)),STDEV(BE8:BE18),"-")</f>
        <v>0</v>
      </c>
      <c r="BF21" s="604">
        <f>IF(ISNUMBER(STDEV(BF8:BF18)),STDEV(BF8:BF18),"-")</f>
        <v>0</v>
      </c>
      <c r="BG21" s="914">
        <f>IF(ISNUMBER(STDEV(BG8:BG18)),STDEV(BG8:BG18),"-")</f>
        <v>0.33437693042376004</v>
      </c>
      <c r="BH21" s="918">
        <f>IF(ISNUMBER(STDEV(BH8:BH18)),STDEV(BH8:BH18),"-")</f>
        <v>1.6991785559132888</v>
      </c>
      <c r="BI21" s="253">
        <f>IF(ISNUMBER(STDEV(BI8:BI18)),STDEV(BI8:BI18),"-")</f>
        <v>7.0928729817926028E-2</v>
      </c>
      <c r="BJ21" s="234" t="str">
        <f>IF(ISNUMBER(BL21/BM21),BL21/BM21," - ")</f>
        <v xml:space="preserve"> - </v>
      </c>
      <c r="BK21" s="626"/>
      <c r="BL21" s="607">
        <f>IF(ISNUMBER(STDEV(BL8:BL18)),STDEV(BL8:BL18),"-")</f>
        <v>0.2168286845631075</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XJEFKbdp0q0yW8l+cfBpAJM4uNBxasgpm7eFSDYuWVipMHAOibG2IipzsWwB9OiIODZ4R8S7hmAZS+6f+r1dJw==" saltValue="+oewTqQ8VRl/42o+ZblTQ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LEON  Resumenes por Partidos Judiciales  PONFERRADA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5</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223</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92</v>
      </c>
      <c r="AA9" s="505" t="str">
        <f>IF(ISNUMBER(IF(J_V="SI",Datos!L9,Datos!L9+Datos!AB9)-IF(Monitorios="SI",Datos!CD9,0)),
                          IF(J_V="SI",Datos!L9,Datos!L9+Datos!AB9)-IF(Monitorios="SI",Datos!CD9,0),
                          " - ")</f>
        <v xml:space="preserve"> - </v>
      </c>
      <c r="AB9" s="503"/>
      <c r="AC9" s="503"/>
      <c r="AD9" s="516"/>
      <c r="AE9" s="516">
        <f>IF(ISNUMBER(Datos!R9),Datos!R9," - ")</f>
        <v>4430</v>
      </c>
      <c r="AF9" s="619" t="str">
        <f>IF(ISNUMBER(Datos!BV9),Datos!BV9," - ")</f>
        <v xml:space="preserve"> - </v>
      </c>
      <c r="AG9" s="506" t="str">
        <f>IF(ISNUMBER(Datos!DV9),Datos!DV9," - ")</f>
        <v xml:space="preserve"> - </v>
      </c>
      <c r="AH9" s="507"/>
      <c r="AI9" s="508"/>
      <c r="AJ9" s="506">
        <f>IF(ISNUMBER(Datos!M9),Datos!M9," - ")</f>
        <v>292</v>
      </c>
      <c r="AK9" s="619">
        <f>IF(ISNUMBER(Datos!N9),Datos!N9," - ")</f>
        <v>418</v>
      </c>
      <c r="AL9" s="619" t="str">
        <f>IF(ISNUMBER(Datos!BW9),Datos!BW9," - ")</f>
        <v xml:space="preserve"> - </v>
      </c>
      <c r="AM9" s="667" t="str">
        <f>IF(ISNUMBER(Datos!BX9),Datos!BX9," - ")</f>
        <v xml:space="preserve"> - </v>
      </c>
      <c r="AN9" s="668"/>
      <c r="AO9" s="669">
        <f>IF(ISNUMBER(((NºAsuntos!I9/NºAsuntos!G9)*11)/factor_trimestre),((NºAsuntos!I9/NºAsuntos!G9)*11)/factor_trimestre," - ")</f>
        <v>5.4635332252836308</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3.0472202837869271E-2</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24</v>
      </c>
      <c r="G10" s="506">
        <f>IF(ISNUMBER(Datos!I10),Datos!I10," - ")</f>
        <v>24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12</v>
      </c>
      <c r="Z10" s="703">
        <f>IF(ISNUMBER(Datos!Q10),Datos!Q10," - ")</f>
        <v>0</v>
      </c>
      <c r="AA10" s="505">
        <f>IF(ISNUMBER(Datos!L10),Datos!L10,"-")</f>
        <v>20</v>
      </c>
      <c r="AB10" s="503"/>
      <c r="AC10" s="503"/>
      <c r="AD10" s="516"/>
      <c r="AE10" s="516">
        <f>IF(ISNUMBER(Datos!R10),Datos!R10," - ")</f>
        <v>43</v>
      </c>
      <c r="AF10" s="619" t="str">
        <f>IF(ISNUMBER(Datos!BV10),Datos!BV10," - ")</f>
        <v xml:space="preserve"> - </v>
      </c>
      <c r="AG10" s="506" t="str">
        <f>IF(ISNUMBER(Datos!DV10),Datos!DV10," - ")</f>
        <v xml:space="preserve"> - </v>
      </c>
      <c r="AH10" s="507"/>
      <c r="AI10" s="508"/>
      <c r="AJ10" s="506">
        <f>IF(ISNUMBER(Datos!M10),Datos!M10," - ")</f>
        <v>5</v>
      </c>
      <c r="AK10" s="619">
        <f>IF(ISNUMBER(Datos!N10),Datos!N10," - ")</f>
        <v>3</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3.3333333333333339</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5</v>
      </c>
      <c r="F13" s="1044">
        <f>SUBTOTAL(9,F8:F12)</f>
        <v>24</v>
      </c>
      <c r="G13" s="1044">
        <f>SUBTOTAL(9,G8:G12)</f>
        <v>24</v>
      </c>
      <c r="H13" s="1054"/>
      <c r="I13" s="1044">
        <f t="shared" ref="I13:N13" si="0">SUBTOTAL(9,I8:I12)</f>
        <v>0</v>
      </c>
      <c r="J13" s="1013">
        <f t="shared" si="0"/>
        <v>0</v>
      </c>
      <c r="K13" s="1054">
        <f t="shared" si="0"/>
        <v>0</v>
      </c>
      <c r="L13" s="1054">
        <f t="shared" si="0"/>
        <v>0</v>
      </c>
      <c r="M13" s="1054">
        <f t="shared" si="0"/>
        <v>0</v>
      </c>
      <c r="N13" s="1054">
        <f t="shared" si="0"/>
        <v>223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12</v>
      </c>
      <c r="Z13" s="1053">
        <f t="shared" si="2"/>
        <v>92</v>
      </c>
      <c r="AA13" s="1046">
        <f t="shared" si="2"/>
        <v>20</v>
      </c>
      <c r="AB13" s="1046">
        <f t="shared" si="2"/>
        <v>0</v>
      </c>
      <c r="AC13" s="1046">
        <f t="shared" si="2"/>
        <v>0</v>
      </c>
      <c r="AD13" s="1046">
        <f t="shared" si="2"/>
        <v>0</v>
      </c>
      <c r="AE13" s="1046">
        <f t="shared" si="2"/>
        <v>4473</v>
      </c>
      <c r="AF13" s="1054">
        <f t="shared" si="2"/>
        <v>0</v>
      </c>
      <c r="AG13" s="1054">
        <f t="shared" si="2"/>
        <v>0</v>
      </c>
      <c r="AH13" s="1054">
        <f t="shared" si="2"/>
        <v>0</v>
      </c>
      <c r="AI13" s="1054">
        <f t="shared" si="2"/>
        <v>0</v>
      </c>
      <c r="AJ13" s="1054">
        <f t="shared" si="2"/>
        <v>297</v>
      </c>
      <c r="AK13" s="1054">
        <f t="shared" si="2"/>
        <v>421</v>
      </c>
      <c r="AL13" s="1054">
        <f t="shared" si="2"/>
        <v>0</v>
      </c>
      <c r="AM13" s="1054">
        <f t="shared" si="2"/>
        <v>0</v>
      </c>
      <c r="AN13" s="1054">
        <f t="shared" si="2"/>
        <v>0</v>
      </c>
      <c r="AO13" s="1050">
        <f>IF(ISNUMBER(((NºAsuntos!I13/NºAsuntos!G13)*11)/factor_trimestre),((NºAsuntos!I13/NºAsuntos!G13)*11)/factor_trimestre," - ")</f>
        <v>5.4430176565008024</v>
      </c>
      <c r="AP13" s="1056" t="str">
        <f>IF(ISNUMBER(Datos!CI13/Datos!CJ13),Datos!CI13/Datos!CJ13," - ")</f>
        <v xml:space="preserve"> - </v>
      </c>
      <c r="AQ13" s="1074">
        <f t="shared" ref="AQ13:AV13" si="3">SUBTOTAL(9,AQ9:AQ12)</f>
        <v>0</v>
      </c>
      <c r="AR13" s="1074">
        <f t="shared" si="3"/>
        <v>3.0472202837869271E-2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3</v>
      </c>
      <c r="B15" s="653" t="s">
        <v>400</v>
      </c>
      <c r="C15" s="670" t="str">
        <f>Datos!A15</f>
        <v xml:space="preserve">Jdos. Instrucción                               </v>
      </c>
      <c r="D15" s="543"/>
      <c r="E15" s="1333">
        <f>IF(ISNUMBER(Datos!AQ15),Datos!AQ15," - ")</f>
        <v>3</v>
      </c>
      <c r="F15" s="497">
        <f>IF(ISNUMBER(AA15+Y15-Datos!J15-K15),AA15+Y15-Datos!J15-K15," - ")</f>
        <v>1355</v>
      </c>
      <c r="G15" s="506">
        <f>IF(ISNUMBER(IF(D_I="SI",Datos!I15,Datos!I15+Datos!AC15)),IF(D_I="SI",Datos!I15,Datos!I15+Datos!AC15)," - ")</f>
        <v>1317</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11</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1040</v>
      </c>
      <c r="Z15" s="703">
        <f>IF(ISNUMBER(Datos!Q15),Datos!Q15," - ")</f>
        <v>20</v>
      </c>
      <c r="AA15" s="505">
        <f>IF(ISNUMBER(IF(D_I="SI",Datos!L15,Datos!L15+Datos!AF15)),IF(D_I="SI",Datos!L15,Datos!L15+Datos!AF15)," - ")</f>
        <v>1674</v>
      </c>
      <c r="AB15" s="503"/>
      <c r="AC15" s="503"/>
      <c r="AD15" s="516"/>
      <c r="AE15" s="516">
        <f>IF(ISNUMBER(Datos!R15),Datos!R15," - ")</f>
        <v>236</v>
      </c>
      <c r="AF15" s="619" t="str">
        <f>IF(ISNUMBER(Datos!BV15),Datos!BV15," - ")</f>
        <v xml:space="preserve"> - </v>
      </c>
      <c r="AG15" s="506"/>
      <c r="AH15" s="507"/>
      <c r="AI15" s="508"/>
      <c r="AJ15" s="506">
        <f>IF(ISNUMBER(Datos!M15),Datos!M15," - ")</f>
        <v>96</v>
      </c>
      <c r="AK15" s="619">
        <f>IF(ISNUMBER(Datos!N15),Datos!N15," - ")</f>
        <v>808</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3.2192307692307693</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153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53</v>
      </c>
      <c r="Z17" s="703">
        <f>IF(ISNUMBER(Datos!Q17),Datos!Q17," - ")</f>
        <v>0</v>
      </c>
      <c r="AA17" s="505">
        <f>IF(ISNUMBER(Datos!L17),Datos!L17,"-")</f>
        <v>194</v>
      </c>
      <c r="AB17" s="503"/>
      <c r="AC17" s="503"/>
      <c r="AD17" s="516"/>
      <c r="AE17" s="516">
        <f>IF(ISNUMBER(Datos!R17),Datos!R17," - ")</f>
        <v>3</v>
      </c>
      <c r="AF17" s="619" t="str">
        <f>IF(ISNUMBER(Datos!BV17),Datos!BV17," - ")</f>
        <v xml:space="preserve"> - </v>
      </c>
      <c r="AG17" s="506" t="str">
        <f>IF(ISNUMBER(Datos!DV17),Datos!DV17," - ")</f>
        <v xml:space="preserve"> - </v>
      </c>
      <c r="AH17" s="507"/>
      <c r="AI17" s="508"/>
      <c r="AJ17" s="506">
        <f>IF(ISNUMBER(Datos!M17),Datos!M17," - ")</f>
        <v>7</v>
      </c>
      <c r="AK17" s="619">
        <f>IF(ISNUMBER(Datos!N17),Datos!N17," - ")</f>
        <v>64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7.3207547169811313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3</v>
      </c>
      <c r="F18" s="1044">
        <f>SUBTOTAL(9,F15:F17)</f>
        <v>1355</v>
      </c>
      <c r="G18" s="1044">
        <f>SUBTOTAL(9,G15:G17)</f>
        <v>1470</v>
      </c>
      <c r="H18" s="1078">
        <f>SUBTOTAL(9,H15:H17)</f>
        <v>0</v>
      </c>
      <c r="I18" s="1057">
        <f>SUBTOTAL(9,I15:I17)</f>
        <v>0</v>
      </c>
      <c r="J18" s="1013">
        <f>SUBTOTAL(9,J14:J17)</f>
        <v>0</v>
      </c>
      <c r="K18" s="1078">
        <f t="shared" ref="K18:S18" si="4">SUBTOTAL(9,K15:K17)</f>
        <v>0</v>
      </c>
      <c r="L18" s="1078">
        <f t="shared" si="4"/>
        <v>0</v>
      </c>
      <c r="M18" s="1078">
        <f t="shared" si="4"/>
        <v>0</v>
      </c>
      <c r="N18" s="1078">
        <f t="shared" si="4"/>
        <v>11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1093</v>
      </c>
      <c r="Z18" s="1078">
        <f t="shared" si="5"/>
        <v>20</v>
      </c>
      <c r="AA18" s="1078">
        <f t="shared" si="5"/>
        <v>1868</v>
      </c>
      <c r="AB18" s="1078">
        <f t="shared" si="5"/>
        <v>0</v>
      </c>
      <c r="AC18" s="1078">
        <f t="shared" si="5"/>
        <v>0</v>
      </c>
      <c r="AD18" s="1078">
        <f t="shared" si="5"/>
        <v>0</v>
      </c>
      <c r="AE18" s="1078">
        <f t="shared" si="5"/>
        <v>239</v>
      </c>
      <c r="AF18" s="1078">
        <f t="shared" si="5"/>
        <v>0</v>
      </c>
      <c r="AG18" s="1078">
        <f t="shared" si="5"/>
        <v>0</v>
      </c>
      <c r="AH18" s="1078">
        <f t="shared" si="5"/>
        <v>0</v>
      </c>
      <c r="AI18" s="1078">
        <f t="shared" si="5"/>
        <v>0</v>
      </c>
      <c r="AJ18" s="1078">
        <f t="shared" si="5"/>
        <v>103</v>
      </c>
      <c r="AK18" s="1078">
        <f t="shared" si="5"/>
        <v>872</v>
      </c>
      <c r="AL18" s="1078">
        <f t="shared" si="5"/>
        <v>0</v>
      </c>
      <c r="AM18" s="1078">
        <f t="shared" si="5"/>
        <v>0</v>
      </c>
      <c r="AN18" s="1078">
        <f t="shared" si="5"/>
        <v>0</v>
      </c>
      <c r="AO18" s="1080">
        <f>IF(ISNUMBER(((NºAsuntos!I18/NºAsuntos!G18)*11)/factor_trimestre),((NºAsuntos!I18/NºAsuntos!G18)*11)/factor_trimestre," - ")</f>
        <v>3.4181152790484903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1379</v>
      </c>
      <c r="G19" s="966">
        <f t="shared" si="7"/>
        <v>1494</v>
      </c>
      <c r="H19" s="967">
        <f t="shared" si="7"/>
        <v>0</v>
      </c>
      <c r="I19" s="966">
        <f t="shared" si="7"/>
        <v>0</v>
      </c>
      <c r="J19" s="968">
        <f t="shared" si="7"/>
        <v>0</v>
      </c>
      <c r="K19" s="966">
        <f t="shared" si="7"/>
        <v>0</v>
      </c>
      <c r="L19" s="969">
        <f t="shared" si="7"/>
        <v>0</v>
      </c>
      <c r="M19" s="966">
        <f t="shared" si="7"/>
        <v>0</v>
      </c>
      <c r="N19" s="967">
        <f t="shared" si="7"/>
        <v>234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1105</v>
      </c>
      <c r="Z19" s="973">
        <f t="shared" si="8"/>
        <v>112</v>
      </c>
      <c r="AA19" s="974">
        <f t="shared" si="8"/>
        <v>1888</v>
      </c>
      <c r="AB19" s="974">
        <f t="shared" si="8"/>
        <v>0</v>
      </c>
      <c r="AC19" s="974">
        <f t="shared" si="8"/>
        <v>0</v>
      </c>
      <c r="AD19" s="975">
        <f t="shared" si="8"/>
        <v>0</v>
      </c>
      <c r="AE19" s="975">
        <f t="shared" si="8"/>
        <v>4712</v>
      </c>
      <c r="AF19" s="976">
        <f t="shared" si="8"/>
        <v>0</v>
      </c>
      <c r="AG19" s="977">
        <f t="shared" si="8"/>
        <v>0</v>
      </c>
      <c r="AH19" s="978">
        <f t="shared" si="8"/>
        <v>0</v>
      </c>
      <c r="AI19" s="976">
        <f t="shared" si="8"/>
        <v>0</v>
      </c>
      <c r="AJ19" s="966">
        <f t="shared" si="8"/>
        <v>400</v>
      </c>
      <c r="AK19" s="966">
        <f t="shared" si="8"/>
        <v>1293</v>
      </c>
      <c r="AL19" s="966">
        <f t="shared" si="8"/>
        <v>0</v>
      </c>
      <c r="AM19" s="979">
        <f t="shared" si="8"/>
        <v>0</v>
      </c>
      <c r="AN19" s="969">
        <f>IF(ISNUMBER(Datos!K19/Datos!J19),Datos!K19/Datos!J19," - ")</f>
        <v>0.72520325203252034</v>
      </c>
      <c r="AO19" s="969">
        <f>IF(ISNUMBER(FIND("06",Criterios!A8,1)),(IF(ISNUMBER(((Datos!R19/Datos!Q19)*11)/factor_trimestre),((Datos!R19/Datos!Q19)*11)/factor_trimestre," - ")),(IF(ISNUMBER(((Datos!L19/Datos!K19)*11)/factor_trimestre),((Datos!L19/Datos!K19)*11)/factor_trimestre," - ")))</f>
        <v>4.6547085201793719</v>
      </c>
      <c r="AP19" s="980" t="str">
        <f>IF(ISNUMBER(Datos!CI19/Datos!CJ19),Datos!CI19/Datos!CJ19," - ")</f>
        <v xml:space="preserve"> - </v>
      </c>
      <c r="AQ19" s="980">
        <f>IF(OR(ISNUMBER(FIND("01",Criterios!A8,1)),ISNUMBER(FIND("02",Criterios!A8,1)),ISNUMBER(FIND("03",Criterios!A8,1)),ISNUMBER(FIND("04",Criterios!A8,1))),(J19-Y19+K19)/(F19-K19),(I19-Y19+K19)/(F19-K19))</f>
        <v>-0.8013052936910805</v>
      </c>
      <c r="AR19" s="980">
        <f>IF(ISNUMBER((Datos!P19-Datos!Q19+O19)/(Datos!R19-Datos!P19+Datos!Q19-O19)),(Datos!P19-Datos!Q19+O19)/(Datos!R19-Datos!P19+Datos!Q19-O19)," - ")</f>
        <v>2.6579520697167756E-2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597.6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768.45320829139189</v>
      </c>
      <c r="G21" s="600">
        <f>IF(ISNUMBER(STDEV(G8:G18)),STDEV(G8:G18),"-")</f>
        <v>730.46581028820242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131.68548388743031</v>
      </c>
      <c r="AK21" s="256"/>
      <c r="AL21" s="256">
        <f>IF(ISNUMBER(STDEV(AL8:AL18)),STDEV(AL8:AL18),"-")</f>
        <v>0</v>
      </c>
      <c r="AM21" s="258">
        <f>IF(ISNUMBER(STDEV(AM8:AM18)),STDEV(AM8:AM18),"-")</f>
        <v>0</v>
      </c>
      <c r="AN21" s="586">
        <f>IF(ISNUMBER(STDEV(AN8:AN18)),STDEV(AN8:AN18),"-")</f>
        <v>0</v>
      </c>
      <c r="AO21" s="587">
        <f>IF(ISNUMBER(STDEV(AO8:AO18)),STDEV(AO8:AO18),"-")</f>
        <v>1.655723199343722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LJydnYtxyh+1bKQ9BSyVTqlQqBLikqshTl4Y6dAmSfPZJtmyq1nNBQeDNY/32c0XgOjWqEn+tGWM4sdJa3IRzA==" saltValue="RyeEm2pVReNbmmY/o5wWE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SdHKVyTaShacgxL6caVoiMEfEpJECFMk90uQ5rxJCZ1ti1e0fPNv2Q1a7AEWb/yPa191Z9GCMuOZEgB66Ly3zA==" saltValue="7OsgENc/2pTXZuumJkVJo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CWdYYMdGDV931yr+HYFERfBwejThlgPfHL/IWy55KEgU2j/DBJZlgq4Uj3kJ1uoqtK7BXvSKneQZYYiejGTOA==" saltValue="Rh5d9CYPwKCTeEwv63yiH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LEON  Resumenes por Partidos Judiciales  PONFERRADA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0.23836276083467095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0.16854792456854303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iufe0n0wQidU16k3RtLzcc5ETm7sgovDewK/Ak06hubnqvphbdmZa8fq+mD91ubo7/KOBbgdGDpMHQjOUyz7qA==" saltValue="DpBGUn21k+yPd1ViglnJv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oV15PCs9DPdK8KELiWjWo5nOBRq5zhKGaS3sASsiAJ/ERFyFxWBrP3F+D2rKSYgdkLy2HdG5GcgX+YexrpqixQ==" saltValue="v2fz5zZxXUFCqlp4DKoPs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LEON</v>
      </c>
      <c r="D3" s="399"/>
      <c r="E3" s="399"/>
      <c r="F3" s="399"/>
    </row>
    <row r="4" spans="1:14" ht="13.5" thickBot="1">
      <c r="A4" s="399"/>
      <c r="B4" s="402" t="str">
        <f>Criterios!A11 &amp;"  "&amp;Criterios!B11</f>
        <v>Resumenes por Partidos Judiciales  PONFERRADA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5</v>
      </c>
      <c r="C9" s="414">
        <f>IF(ISNUMBER(IF(J_V="SI",Datos!I9,Datos!I9+Datos!Y9)),IF(J_V="SI",Datos!I9,Datos!I9+Datos!Y9)," - ")</f>
        <v>2887</v>
      </c>
      <c r="D9" s="415" t="str">
        <f>IF(ISNUMBER(C9/Datos!BH9),C9/Datos!BH9," - ")</f>
        <v xml:space="preserve"> - </v>
      </c>
      <c r="E9" s="414">
        <f>IF(ISNUMBER(IF(J_V="SI",Datos!J9,Datos!J9+Datos!Z9)),IF(J_V="SI",Datos!J9,Datos!J9+Datos!Z9)," - ")</f>
        <v>1718</v>
      </c>
      <c r="F9" s="415">
        <f>IF(ISNUMBER(E9/B9),E9/B9," - ")</f>
        <v>343.6</v>
      </c>
      <c r="G9" s="414">
        <f>IF(ISNUMBER(IF(J_V="SI",Datos!K9,Datos!K9+Datos!AA9)),IF(J_V="SI",Datos!K9,Datos!K9+Datos!AA9)," - ")</f>
        <v>1234</v>
      </c>
      <c r="H9" s="415">
        <f>IF(ISNUMBER(G9/B9),G9/B9," - ")</f>
        <v>246.8</v>
      </c>
      <c r="I9" s="414">
        <f>IF(ISNUMBER(IF(J_V="SI",Datos!L9,Datos!L9+Datos!AB9)),IF(J_V="SI",Datos!L9,Datos!L9+Datos!AB9)," - ")</f>
        <v>3371</v>
      </c>
      <c r="J9" s="415">
        <f>IF(ISNUMBER(I9/B9),I9/B9," - ")</f>
        <v>674.2</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24</v>
      </c>
      <c r="D10" s="415">
        <f>IF(ISNUMBER(C10/Datos!BH10),C10/Datos!BH10," - ")</f>
        <v>24</v>
      </c>
      <c r="E10" s="414">
        <f>IF(ISNUMBER(Datos!J10),Datos!J10," - ")</f>
        <v>8</v>
      </c>
      <c r="F10" s="415">
        <f>IF(ISNUMBER(E10/B10),E10/B10," - ")</f>
        <v>8</v>
      </c>
      <c r="G10" s="414">
        <f>IF(ISNUMBER(Datos!K10),Datos!K10," - ")</f>
        <v>12</v>
      </c>
      <c r="H10" s="415">
        <f>IF(ISNUMBER(G10/B10),G10/B10," - ")</f>
        <v>12</v>
      </c>
      <c r="I10" s="414">
        <f>IF(ISNUMBER(Datos!L10),Datos!L10," - ")</f>
        <v>20</v>
      </c>
      <c r="J10" s="415">
        <f>IF(ISNUMBER(I10/B10),I10/B10," - ")</f>
        <v>20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5</v>
      </c>
      <c r="C13" s="995">
        <f>SUBTOTAL(9,C8:C12)</f>
        <v>2911</v>
      </c>
      <c r="D13" s="996" t="str">
        <f>IF(ISNUMBER(C13/Datos!BI13),C13/Datos!BI13," - ")</f>
        <v xml:space="preserve"> - </v>
      </c>
      <c r="E13" s="995">
        <f>SUBTOTAL(9,E8:E12)</f>
        <v>1726</v>
      </c>
      <c r="F13" s="996">
        <f>IF(ISNUMBER(E13/B13),E13/B13," - ")</f>
        <v>345.2</v>
      </c>
      <c r="G13" s="995">
        <f>SUBTOTAL(9,G8:G12)</f>
        <v>1246</v>
      </c>
      <c r="H13" s="996">
        <f>IF(ISNUMBER(G13/B13),G13/B13," - ")</f>
        <v>249.2</v>
      </c>
      <c r="I13" s="995">
        <f>SUBTOTAL(9,I8:I12)</f>
        <v>3391</v>
      </c>
      <c r="J13" s="996">
        <f>IF(ISNUMBER(I13/B13),I13/B13," - ")</f>
        <v>678.2</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3</v>
      </c>
      <c r="C15" s="414">
        <f>IF(ISNUMBER(IF(D_I="SI",Datos!I15,Datos!I15+Datos!AC15)),IF(D_I="SI",Datos!I15,Datos!I15+Datos!AC15)," - ")</f>
        <v>1317</v>
      </c>
      <c r="D15" s="415" t="str">
        <f>IF(ISNUMBER(C15/Datos!BH15),C15/Datos!BH15," - ")</f>
        <v xml:space="preserve"> - </v>
      </c>
      <c r="E15" s="414">
        <f>IF(ISNUMBER(IF(D_I="SI",Datos!J15,Datos!J15+Datos!AD15)),IF(D_I="SI",Datos!J15,Datos!J15+Datos!AD15)," - ")</f>
        <v>1359</v>
      </c>
      <c r="F15" s="415">
        <f>IF(ISNUMBER(E15/B15),E15/B15," - ")</f>
        <v>453</v>
      </c>
      <c r="G15" s="414">
        <f>IF(ISNUMBER(IF(D_I="SI",Datos!K15,Datos!K15+Datos!AE15)),IF(D_I="SI",Datos!K15,Datos!K15+Datos!AE15)," - ")</f>
        <v>1040</v>
      </c>
      <c r="H15" s="415">
        <f>IF(ISNUMBER(G15/B15),G15/B15," - ")</f>
        <v>346.66666666666669</v>
      </c>
      <c r="I15" s="414">
        <f>IF(ISNUMBER(IF(D_I="SI",Datos!L15,Datos!L15+Datos!AF15)),IF(D_I="SI",Datos!L15,Datos!L15+Datos!AF15)," - ")</f>
        <v>1674</v>
      </c>
      <c r="J15" s="415">
        <f>IF(ISNUMBER(I15/B15),I15/B15," - ")</f>
        <v>558</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153</v>
      </c>
      <c r="D17" s="415">
        <f>IF(ISNUMBER(C17/Datos!BH17),C17/Datos!BH17," - ")</f>
        <v>153</v>
      </c>
      <c r="E17" s="414">
        <f>IF(ISNUMBER(IF(D_I="SI",Datos!J17,Datos!J17+Datos!AD17)),IF(D_I="SI",Datos!J17,Datos!J17+Datos!AD17)," - ")</f>
        <v>94</v>
      </c>
      <c r="F17" s="415">
        <f>IF(ISNUMBER(E17/B17),E17/B17," - ")</f>
        <v>94</v>
      </c>
      <c r="G17" s="414">
        <f>IF(ISNUMBER(IF(D_I="SI",Datos!K17,Datos!K17+Datos!AE17)),IF(D_I="SI",Datos!K17,Datos!K17+Datos!AE17)," - ")</f>
        <v>53</v>
      </c>
      <c r="H17" s="415">
        <f>IF(ISNUMBER(G17/B17),G17/B17," - ")</f>
        <v>53</v>
      </c>
      <c r="I17" s="414">
        <f>IF(ISNUMBER(IF(D_I="SI",Datos!L17,Datos!L17+Datos!AF17)),IF(D_I="SI",Datos!L17,Datos!L17+Datos!AF17)," - ")</f>
        <v>194</v>
      </c>
      <c r="J17" s="415">
        <f>IF(ISNUMBER(I17/B17),I17/B17," - ")</f>
        <v>194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1470</v>
      </c>
      <c r="D18" s="996" t="str">
        <f>IF(ISNUMBER(C18/Datos!BI18),C18/Datos!BI18," - ")</f>
        <v xml:space="preserve"> - </v>
      </c>
      <c r="E18" s="995">
        <f>SUBTOTAL(9,E14:E17)</f>
        <v>1453</v>
      </c>
      <c r="F18" s="996">
        <f>IF(ISNUMBER(E18/B18),E18/B18," - ")</f>
        <v>484.33333333333331</v>
      </c>
      <c r="G18" s="995">
        <f>SUBTOTAL(9,G14:G17)</f>
        <v>1093</v>
      </c>
      <c r="H18" s="996">
        <f>IF(ISNUMBER(G18/B18),G18/B18," - ")</f>
        <v>364.33333333333331</v>
      </c>
      <c r="I18" s="995">
        <f>SUBTOTAL(9,I14:I17)</f>
        <v>1868</v>
      </c>
      <c r="J18" s="996">
        <f>IF(ISNUMBER(I18/B18),I18/B18," - ")</f>
        <v>622.66666666666663</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8</v>
      </c>
      <c r="C19" s="940">
        <f>SUBTOTAL(9,C9:C18)</f>
        <v>4381</v>
      </c>
      <c r="D19" s="941" t="str">
        <f>IF(ISNUMBER(C19/Datos!BI19),C19/Datos!BI19," - ")</f>
        <v xml:space="preserve"> - </v>
      </c>
      <c r="E19" s="940">
        <f>SUBTOTAL(9,E9:E18)</f>
        <v>3179</v>
      </c>
      <c r="F19" s="941">
        <f>IF(ISNUMBER(E19/B19),E19/B19," - ")</f>
        <v>397.375</v>
      </c>
      <c r="G19" s="940">
        <f>SUBTOTAL(9,G9:G18)</f>
        <v>2339</v>
      </c>
      <c r="H19" s="941">
        <f>IF(ISNUMBER(G19/B19),G19/B19," - ")</f>
        <v>292.375</v>
      </c>
      <c r="I19" s="940">
        <f>SUBTOTAL(9,I9:I18)</f>
        <v>5259</v>
      </c>
      <c r="J19" s="941">
        <f>IF(ISNUMBER(I19/B19),I19/B19," - ")</f>
        <v>657.375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Y4x8VHLP7oR4R1Ld8osDmGfBWAFesQSNaebB6fZHGV/Rn58tovX2ZUlztqADHCI2qsAK/P12kVXlrwKrZtNpdw==" saltValue="08IETfHVcRq8XFz+n8zwL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LEON  Resumenes por Partidos Judiciales  PONFERRADA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5</v>
      </c>
      <c r="B9" s="652" t="s">
        <v>249</v>
      </c>
      <c r="C9" s="670" t="str">
        <f>Datos!A9</f>
        <v xml:space="preserve">Jdos. 1ª Instancia   </v>
      </c>
      <c r="D9" s="543"/>
      <c r="E9" s="800">
        <f>IF(ISNUMBER(Datos!AQ9),Datos!AQ9," - ")</f>
        <v>5</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24</v>
      </c>
      <c r="G10" s="802">
        <f>IF(ISNUMBER(Datos!I10),Datos!I10," - ")</f>
        <v>24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12</v>
      </c>
      <c r="AC10" s="801" t="str">
        <f>IF(ISNUMBER(IF(D_I="SI",DatosP!K17,DatosP!K17+DatosP!AE17)),IF(D_I="SI",DatosP!K17,DatosP!K17+DatosP!AE17)," - ")</f>
        <v xml:space="preserve"> - </v>
      </c>
      <c r="AD10" s="803"/>
      <c r="AE10" s="803"/>
      <c r="AF10" s="806">
        <f>IF(ISNUMBER(Datos!L10),Datos!L10,"-")</f>
        <v>20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5</v>
      </c>
      <c r="AM10" s="810">
        <f>IF(ISNUMBER(Datos!N10+DatosP!N17),Datos!N10+DatosP!N17," - ")</f>
        <v>3</v>
      </c>
      <c r="AN10" s="810">
        <f>IF(ISNUMBER(Datos!BW10+DatosP!BW17),Datos!BW10+DatosP!BW17," - ")</f>
        <v>0</v>
      </c>
      <c r="AO10" s="811">
        <f>IF(ISNUMBER(Datos!BX10+DatosP!BX17),Datos!BX10+DatosP!BX17," - ")</f>
        <v>0</v>
      </c>
      <c r="AP10" s="813">
        <f>IF(ISNUMBER(((Datos!L10/Datos!K10)*11)/factor_trimestre),((Datos!L10/Datos!K10)*11)/factor_trimestre," - ")</f>
        <v>3.3333333333333339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5</v>
      </c>
      <c r="F13" s="1084">
        <f t="shared" si="0"/>
        <v>24</v>
      </c>
      <c r="G13" s="1084">
        <f t="shared" si="0"/>
        <v>24</v>
      </c>
      <c r="H13" s="1084">
        <f t="shared" si="0"/>
        <v>0</v>
      </c>
      <c r="I13" s="1086">
        <f t="shared" si="0"/>
        <v>0</v>
      </c>
      <c r="J13" s="1085">
        <f t="shared" si="0"/>
        <v>0</v>
      </c>
      <c r="K13" s="1085">
        <f t="shared" si="0"/>
        <v>0</v>
      </c>
      <c r="L13" s="1087">
        <f t="shared" si="0"/>
        <v>0</v>
      </c>
      <c r="M13" s="1087">
        <f t="shared" si="0"/>
        <v>0</v>
      </c>
      <c r="N13" s="1085">
        <f t="shared" si="0"/>
        <v>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12</v>
      </c>
      <c r="AC13" s="1085">
        <f t="shared" si="1"/>
        <v>0</v>
      </c>
      <c r="AD13" s="1085">
        <f t="shared" si="1"/>
        <v>0</v>
      </c>
      <c r="AE13" s="1085">
        <f t="shared" si="1"/>
        <v>0</v>
      </c>
      <c r="AF13" s="1085">
        <f t="shared" si="1"/>
        <v>20</v>
      </c>
      <c r="AG13" s="1085">
        <f t="shared" si="1"/>
        <v>0</v>
      </c>
      <c r="AH13" s="1085">
        <f t="shared" si="1"/>
        <v>0</v>
      </c>
      <c r="AI13" s="1085">
        <f t="shared" si="1"/>
        <v>0</v>
      </c>
      <c r="AJ13" s="1085">
        <f t="shared" si="1"/>
        <v>0</v>
      </c>
      <c r="AK13" s="1085">
        <f t="shared" si="1"/>
        <v>0</v>
      </c>
      <c r="AL13" s="1085">
        <f t="shared" si="1"/>
        <v>5</v>
      </c>
      <c r="AM13" s="1085">
        <f t="shared" si="1"/>
        <v>3</v>
      </c>
      <c r="AN13" s="1085">
        <f t="shared" si="1"/>
        <v>0</v>
      </c>
      <c r="AO13" s="1085">
        <f t="shared" si="1"/>
        <v>0</v>
      </c>
      <c r="AP13" s="1090">
        <f>IF(ISNUMBER(((Datos!L13/Datos!K13)*11)/factor_trimestre),((Datos!L13/Datos!K13)*11)/factor_trimestre," - ")</f>
        <v>5.8434476693051893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-0.5</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3</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3.4181152790484903</v>
      </c>
      <c r="AQ18" s="1090">
        <f>IF(ISNUMBER(((Datos!M18/Datos!L18)*11)/factor_trimestre),((Datos!M18/Datos!L18)*11)/factor_trimestre," - ")</f>
        <v>0.11027837259100642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-3.6290322580645164E-2</v>
      </c>
      <c r="AW18" s="1092">
        <f>IF(ISNUMBER((Datos!Q18-Datos!R18)/(Datos!S18-Datos!Q18+Datos!R18)),(Datos!Q18-Datos!R18)/(Datos!S18-Datos!Q18+Datos!R18)," - ")</f>
        <v>-0.71335504885993484</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5</v>
      </c>
      <c r="F19" s="1097">
        <f t="shared" si="4"/>
        <v>24</v>
      </c>
      <c r="G19" s="1097">
        <f t="shared" si="4"/>
        <v>24</v>
      </c>
      <c r="H19" s="1097">
        <f t="shared" si="4"/>
        <v>0</v>
      </c>
      <c r="I19" s="1098">
        <f t="shared" si="4"/>
        <v>0</v>
      </c>
      <c r="J19" s="1099">
        <f t="shared" si="4"/>
        <v>0</v>
      </c>
      <c r="K19" s="1099">
        <f t="shared" si="4"/>
        <v>0</v>
      </c>
      <c r="L19" s="1099">
        <f t="shared" si="4"/>
        <v>0</v>
      </c>
      <c r="M19" s="1099">
        <f t="shared" si="4"/>
        <v>0</v>
      </c>
      <c r="N19" s="1098">
        <f t="shared" si="4"/>
        <v>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12</v>
      </c>
      <c r="AC19" s="1103">
        <f t="shared" si="5"/>
        <v>0</v>
      </c>
      <c r="AD19" s="1103">
        <f t="shared" si="5"/>
        <v>0</v>
      </c>
      <c r="AE19" s="1103">
        <f t="shared" si="5"/>
        <v>0</v>
      </c>
      <c r="AF19" s="1104">
        <f t="shared" si="5"/>
        <v>20</v>
      </c>
      <c r="AG19" s="1104">
        <f t="shared" si="5"/>
        <v>0</v>
      </c>
      <c r="AH19" s="1104">
        <f t="shared" si="5"/>
        <v>0</v>
      </c>
      <c r="AI19" s="1104">
        <f t="shared" si="5"/>
        <v>0</v>
      </c>
      <c r="AJ19" s="1105">
        <f t="shared" si="5"/>
        <v>0</v>
      </c>
      <c r="AK19" s="1105">
        <f t="shared" si="5"/>
        <v>0</v>
      </c>
      <c r="AL19" s="1097">
        <f t="shared" si="5"/>
        <v>5</v>
      </c>
      <c r="AM19" s="1097">
        <f t="shared" si="5"/>
        <v>3</v>
      </c>
      <c r="AN19" s="1097">
        <f t="shared" si="5"/>
        <v>0</v>
      </c>
      <c r="AO19" s="1097">
        <f t="shared" si="5"/>
        <v>0</v>
      </c>
      <c r="AP19" s="1097">
        <f>IF(ISNUMBER(((Datos!L19/Datos!K19)*11)/factor_trimestre),((Datos!L19/Datos!K19)*11)/factor_trimestre," - ")</f>
        <v>4.6547085201793719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2.6579520697167756E-2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2.5819888974716112</v>
      </c>
      <c r="F21" s="869">
        <f>IF(ISNUMBER(STDEV(F8:F18)),STDEV(F8:F18),"-")</f>
        <v>13.856406460551018</v>
      </c>
      <c r="G21" s="870">
        <f>IF(ISNUMBER(STDEV(G8:G18)),STDEV(G8:G18),"-")</f>
        <v>13.856406460551018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6.9282032302755088</v>
      </c>
      <c r="AC21" s="871">
        <f>IF(ISNUMBER(STDEV(AC8:AC18)),STDEV(AC8:AC18),"-")</f>
        <v>0</v>
      </c>
      <c r="AD21" s="874"/>
      <c r="AE21" s="874"/>
      <c r="AF21" s="874"/>
      <c r="AG21" s="874"/>
      <c r="AH21" s="874"/>
      <c r="AI21" s="874"/>
      <c r="AJ21" s="875">
        <f>IF(ISNUMBER(STDEV(AJ8:AJ18)),STDEV(AJ8:AJ18),"-")</f>
        <v>0</v>
      </c>
      <c r="AK21" s="877"/>
      <c r="AL21" s="869">
        <f>IF(ISNUMBER(STDEV(AL8:AL18)),STDEV(AL8:AL18),"-")</f>
        <v>2.8867513459481287</v>
      </c>
      <c r="AM21" s="869"/>
      <c r="AN21" s="869">
        <f>IF(ISNUMBER(STDEV(AN8:AN18)),STDEV(AN8:AN18),"-")</f>
        <v>0</v>
      </c>
      <c r="AO21" s="875">
        <f>IF(ISNUMBER(STDEV(AO8:AO18)),STDEV(AO8:AO18),"-")</f>
        <v>0</v>
      </c>
      <c r="AP21" s="922">
        <f>IF(ISNUMBER(STDEV(AP8:AP18)),STDEV(AP8:AP18),"-")</f>
        <v>1.4253712476169691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3TZQEXnImPVEU2e/lOxttvzyNhgr8eghd9SB2/ESS7hV8rJ9AT0TQ4AXt1Q5bz3VLIbvAIAYuGke0C66X6kUaw==" saltValue="RCduX1ezzwn0F4CpOXTXm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LEON</v>
      </c>
      <c r="C3" s="426"/>
      <c r="F3" s="399"/>
      <c r="G3" s="399"/>
      <c r="H3" s="399"/>
    </row>
    <row r="4" spans="1:15" ht="13.5" thickBot="1">
      <c r="A4" s="399"/>
      <c r="B4" s="402" t="str">
        <f>Criterios!A11 &amp;"  "&amp;Criterios!B11</f>
        <v>Resumenes por Partidos Judiciales  PONFERRADA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5</v>
      </c>
      <c r="D9" s="414">
        <f>Datos!BK9</f>
        <v>0</v>
      </c>
      <c r="E9" s="414">
        <f>Datos!AQ9</f>
        <v>5</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f>IF(ISNUMBER(E12/Datos!BH12),E12/Datos!BH12," - ")</f>
        <v>0</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3</v>
      </c>
      <c r="D15" s="414">
        <f>Datos!BK15</f>
        <v>0</v>
      </c>
      <c r="E15" s="414">
        <f>Datos!AQ15</f>
        <v>3</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f>IF(ISNUMBER(E16/Datos!BH16),E16/Datos!BH16," - ")</f>
        <v>0</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wFGW+ztdTtN/zDiECIVmfG5yt2PzWecx/MzHrG6Qd4O/CI7lfitkayOle/OjfpbD0DC+lnYi/81c+BO/l9EeDg==" saltValue="oSU2Cj+L0kZ0RX9YDcpBt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LEON</v>
      </c>
      <c r="C3" s="438"/>
      <c r="D3" s="439"/>
    </row>
    <row r="4" spans="1:9" ht="13.5" thickBot="1">
      <c r="B4" s="440" t="str">
        <f>Criterios!A11 &amp;"  "&amp;Criterios!B11</f>
        <v>Resumenes por Partidos Judiciales  PONFERRADA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5</v>
      </c>
      <c r="C9" s="421">
        <f>Datos!AQ9</f>
        <v>5</v>
      </c>
      <c r="D9" s="414">
        <f>IF(ISNUMBER(Datos!M9),Datos!M9," - ")</f>
        <v>292</v>
      </c>
      <c r="E9" s="415">
        <f t="shared" ref="E9:E13" si="0">IF(ISNUMBER(D9/B9),D9/B9," - ")</f>
        <v>58.4</v>
      </c>
      <c r="F9" s="414">
        <f>IF(ISNUMBER(Datos!N9),Datos!N9," - ")</f>
        <v>418</v>
      </c>
      <c r="G9" s="415">
        <f t="shared" ref="G9:G13" si="1">IF(ISNUMBER(F9/B9),F9/B9," - ")</f>
        <v>83.6</v>
      </c>
      <c r="H9" s="414">
        <f>IF(ISNUMBER(Datos!O9),Datos!O9," - ")</f>
        <v>426</v>
      </c>
      <c r="I9" s="415">
        <f>IF(ISNUMBER(H9/B9),H9/B9," - ")</f>
        <v>85.2</v>
      </c>
    </row>
    <row r="10" spans="1:9">
      <c r="A10" s="413" t="str">
        <f>Datos!A10</f>
        <v>Jdos. Violencia contra la mujer</v>
      </c>
      <c r="B10" s="443">
        <f>Datos!AO10</f>
        <v>1</v>
      </c>
      <c r="C10" s="421">
        <f>Datos!AQ10</f>
        <v>0</v>
      </c>
      <c r="D10" s="414">
        <f>IF(ISNUMBER(Datos!M10),Datos!M10," - ")</f>
        <v>5</v>
      </c>
      <c r="E10" s="415">
        <f>IF(ISNUMBER(D10/B10),D10/B10," - ")</f>
        <v>5</v>
      </c>
      <c r="F10" s="414">
        <f>IF(ISNUMBER(Datos!N10),Datos!N10," - ")</f>
        <v>3</v>
      </c>
      <c r="G10" s="415">
        <f>IF(ISNUMBER(F10/B10),F10/B10," - ")</f>
        <v>3</v>
      </c>
      <c r="H10" s="414">
        <f>IF(ISNUMBER(Datos!O10),Datos!O10," - ")</f>
        <v>1</v>
      </c>
      <c r="I10" s="415">
        <f t="shared" ref="I10:I12" si="2">IF(ISNUMBER(H10/B10),H10/B10," - ")</f>
        <v>1</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6</v>
      </c>
      <c r="C13" s="997">
        <f>Datos!AR13</f>
        <v>5</v>
      </c>
      <c r="D13" s="995">
        <f>SUBTOTAL(9,D9:D12)</f>
        <v>297</v>
      </c>
      <c r="E13" s="996">
        <f t="shared" si="0"/>
        <v>49.5</v>
      </c>
      <c r="F13" s="995">
        <f>SUBTOTAL(9,F9:F12)</f>
        <v>421</v>
      </c>
      <c r="G13" s="996">
        <f t="shared" si="1"/>
        <v>70.166666666666671</v>
      </c>
      <c r="H13" s="995">
        <f>SUBTOTAL(9,H9:H12)</f>
        <v>427</v>
      </c>
      <c r="I13" s="996">
        <f>IF(ISNUMBER(H13/B13),H13/B13," - ")</f>
        <v>71.166666666666671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3</v>
      </c>
      <c r="C15" s="444">
        <f>Datos!AQ15</f>
        <v>3</v>
      </c>
      <c r="D15" s="414">
        <f>IF(ISNUMBER(Datos!M15),Datos!M15," - ")</f>
        <v>96</v>
      </c>
      <c r="E15" s="415">
        <f t="shared" ref="E15:E18" si="3">IF(ISNUMBER(D15/B15),D15/B15," - ")</f>
        <v>32</v>
      </c>
      <c r="F15" s="414">
        <f>IF(ISNUMBER(Datos!N15),Datos!N15," - ")</f>
        <v>808</v>
      </c>
      <c r="G15" s="415">
        <f t="shared" ref="G15:G18" si="4">IF(ISNUMBER(F15/B15),F15/B15," - ")</f>
        <v>269.33333333333331</v>
      </c>
      <c r="H15" s="414">
        <f>IF(ISNUMBER(Datos!O15),Datos!O15," - ")</f>
        <v>18</v>
      </c>
      <c r="I15" s="415">
        <f t="shared" ref="I15:I17" si="5">IF(ISNUMBER(H15/B15),H15/B15," - ")</f>
        <v>6</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0</v>
      </c>
      <c r="D17" s="414">
        <f>IF(ISNUMBER(Datos!M17),Datos!M17," - ")</f>
        <v>7</v>
      </c>
      <c r="E17" s="415">
        <f>IF(ISNUMBER(D17/B17),D17/B17," - ")</f>
        <v>7</v>
      </c>
      <c r="F17" s="414">
        <f>IF(ISNUMBER(Datos!N17),Datos!N17," - ")</f>
        <v>64</v>
      </c>
      <c r="G17" s="415">
        <f>IF(ISNUMBER(F17/B17),F17/B17," - ")</f>
        <v>64</v>
      </c>
      <c r="H17" s="414">
        <f>IF(ISNUMBER(Datos!O17),Datos!O17," - ")</f>
        <v>0</v>
      </c>
      <c r="I17" s="415">
        <f t="shared" si="5"/>
        <v>0</v>
      </c>
    </row>
    <row r="18" spans="1:9" ht="14.25" thickTop="1" thickBot="1">
      <c r="A18" s="994" t="str">
        <f>Datos!A18</f>
        <v>TOTAL</v>
      </c>
      <c r="B18" s="995">
        <f>Datos!AO18</f>
        <v>4</v>
      </c>
      <c r="C18" s="997">
        <f>Datos!AR18</f>
        <v>3</v>
      </c>
      <c r="D18" s="995">
        <f>SUBTOTAL(9,D15:D17)</f>
        <v>103</v>
      </c>
      <c r="E18" s="996">
        <f t="shared" si="3"/>
        <v>25.75</v>
      </c>
      <c r="F18" s="995">
        <f>SUBTOTAL(9,F15:F17)</f>
        <v>872</v>
      </c>
      <c r="G18" s="996">
        <f t="shared" si="4"/>
        <v>218</v>
      </c>
      <c r="H18" s="995">
        <f>SUBTOTAL(9,H15:H17)</f>
        <v>18</v>
      </c>
      <c r="I18" s="996">
        <f>IF(ISNUMBER(H18/B18),H18/B18," - ")</f>
        <v>4.5</v>
      </c>
    </row>
    <row r="19" spans="1:9" ht="14.25" thickTop="1" thickBot="1">
      <c r="A19" s="939" t="str">
        <f>Datos!A19</f>
        <v>TOTAL JURISDICCIONES</v>
      </c>
      <c r="B19" s="940">
        <f>Datos!AP19</f>
        <v>8</v>
      </c>
      <c r="C19" s="940">
        <f>Datos!AR19</f>
        <v>8</v>
      </c>
      <c r="D19" s="940">
        <f>SUBTOTAL(9,D8:D18)</f>
        <v>400</v>
      </c>
      <c r="E19" s="941">
        <f>IF(ISNUMBER(D19/B19),D19/B19," - ")</f>
        <v>50</v>
      </c>
      <c r="F19" s="940">
        <f>SUBTOTAL(9,F8:F18)</f>
        <v>1293</v>
      </c>
      <c r="G19" s="941">
        <f>IF(ISNUMBER(F19/B19),F19/B19," - ")</f>
        <v>161.625</v>
      </c>
      <c r="H19" s="940">
        <f>SUBTOTAL(9,H8:H18)</f>
        <v>445</v>
      </c>
      <c r="I19" s="941">
        <f>IF(ISNUMBER(H19/B19),H19/B19," - ")</f>
        <v>55.625</v>
      </c>
    </row>
    <row r="22" spans="1:9">
      <c r="A22" s="402" t="str">
        <f>Criterios!A4</f>
        <v>Fecha Informe: 29 nov. 2023</v>
      </c>
    </row>
    <row r="27" spans="1:9">
      <c r="A27" s="425"/>
    </row>
  </sheetData>
  <sheetProtection algorithmName="SHA-512" hashValue="cJMgkZN3hQRXpe5am4iOPSlmC2o7XtgpCS+ZFmUXmgvMurZ5nLctavoAQPKn6yE+pt4jbgU9X665+auwjuhhpA==" saltValue="tCPPa93PLnnYUUNNXQaVK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LEON</v>
      </c>
    </row>
    <row r="4" spans="1:4" ht="13.5" thickBot="1">
      <c r="B4" s="402" t="str">
        <f>Criterios!A11 &amp;"  "&amp;Criterios!B11</f>
        <v>Resumenes por Partidos Judiciales  PONFERRADA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223</v>
      </c>
      <c r="C9" s="450">
        <f>IF(ISNUMBER(Datos!Q9),Datos!Q9," - ")</f>
        <v>92</v>
      </c>
      <c r="D9" s="419">
        <f>IF(ISNUMBER(Datos!R9),Datos!R9," - ")</f>
        <v>4430</v>
      </c>
    </row>
    <row r="10" spans="1:4">
      <c r="A10" s="413" t="str">
        <f>Datos!A10</f>
        <v>Jdos. Violencia contra la mujer</v>
      </c>
      <c r="B10" s="449">
        <f>IF(ISNUMBER(Datos!P10),Datos!P10," - ")</f>
        <v>0</v>
      </c>
      <c r="C10" s="450">
        <f>IF(ISNUMBER(Datos!Q10),Datos!Q10," - ")</f>
        <v>0</v>
      </c>
      <c r="D10" s="419">
        <f>IF(ISNUMBER(Datos!R10),Datos!R10," - ")</f>
        <v>43</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223</v>
      </c>
      <c r="C13" s="999">
        <f>SUBTOTAL(9,C9:C12)</f>
        <v>92</v>
      </c>
      <c r="D13" s="997">
        <f>SUBTOTAL(9,D9:D12)</f>
        <v>4473</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11</v>
      </c>
      <c r="C15" s="450">
        <f>IF(ISNUMBER(Datos!Q15),Datos!Q15," - ")</f>
        <v>20</v>
      </c>
      <c r="D15" s="419">
        <f>IF(ISNUMBER(Datos!R15),Datos!R15," - ")</f>
        <v>236</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0</v>
      </c>
      <c r="C17" s="450">
        <f>IF(ISNUMBER(Datos!Q17),Datos!Q17," - ")</f>
        <v>0</v>
      </c>
      <c r="D17" s="419">
        <f>IF(ISNUMBER(Datos!R17),Datos!R17," - ")</f>
        <v>3</v>
      </c>
    </row>
    <row r="18" spans="1:4" ht="14.25" thickTop="1" thickBot="1">
      <c r="A18" s="994" t="str">
        <f>Datos!A18</f>
        <v>TOTAL</v>
      </c>
      <c r="B18" s="995">
        <f>SUBTOTAL(9,B15:B17)</f>
        <v>11</v>
      </c>
      <c r="C18" s="999">
        <f>SUBTOTAL(9,C15:C17)</f>
        <v>20</v>
      </c>
      <c r="D18" s="997">
        <f>SUBTOTAL(9,D15:D17)</f>
        <v>239</v>
      </c>
    </row>
    <row r="19" spans="1:4" ht="16.5" customHeight="1" thickTop="1" thickBot="1">
      <c r="A19" s="939" t="str">
        <f>Datos!A19</f>
        <v>TOTAL JURISDICCIONES</v>
      </c>
      <c r="B19" s="944">
        <f>SUBTOTAL(9,B8:B18)</f>
        <v>234</v>
      </c>
      <c r="C19" s="945">
        <f>SUBTOTAL(9,C8:C18)</f>
        <v>112</v>
      </c>
      <c r="D19" s="946">
        <f>SUBTOTAL(9,D8:D18)</f>
        <v>4712</v>
      </c>
    </row>
    <row r="20" spans="1:4" ht="7.5" customHeight="1"/>
    <row r="21" spans="1:4" ht="6" customHeight="1"/>
    <row r="22" spans="1:4">
      <c r="A22" s="402" t="str">
        <f>Criterios!A4</f>
        <v>Fecha Informe: 29 nov. 2023</v>
      </c>
    </row>
    <row r="27" spans="1:4">
      <c r="A27" s="425"/>
    </row>
  </sheetData>
  <sheetProtection algorithmName="SHA-512" hashValue="LrqrfY+9rjmh2iwgnH2Hd4K8biehXpPH0bH9qFH3jiW5OU54CTYqwP7pT5HzfYueGQx3u2F+jRD418kNos7ALQ==" saltValue="rTrlMARGg6DBSK3R4Ksh2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LEON</v>
      </c>
    </row>
    <row r="4" spans="1:11" ht="10.5" customHeight="1" thickBot="1">
      <c r="B4" s="402" t="str">
        <f>Criterios!A11 &amp;"  "&amp;Criterios!B11</f>
        <v>Resumenes por Partidos Judiciales  PONFERRADA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-0.17241379310344829</v>
      </c>
      <c r="C10" s="472">
        <f>IF(ISNUMBER((Datos!J10-Datos!T10)/Datos!T10),(Datos!J10-Datos!T10)/Datos!T10," - ")</f>
        <v>0</v>
      </c>
      <c r="D10" s="472">
        <f>IF(ISNUMBER((Datos!K10-Datos!U10)/Datos!U10),(Datos!K10-Datos!U10)/Datos!U10," - ")</f>
        <v>-0.33333333333333331</v>
      </c>
      <c r="E10" s="472">
        <f>IF(ISNUMBER((Datos!L10-Datos!V10)/Datos!V10),(Datos!L10-Datos!V10)/Datos!V10," - ")</f>
        <v>5.2631578947368418E-2</v>
      </c>
      <c r="F10" s="472">
        <f>IF(ISNUMBER((Datos!M10-Datos!W10)/Datos!W10),(Datos!M10-Datos!W10)/Datos!W10," - ")</f>
        <v>-0.58333333333333337</v>
      </c>
      <c r="G10" s="473">
        <f>IF(ISNUMBER((Datos!N10-Datos!X10)/Datos!X10),(Datos!N10-Datos!X10)/Datos!X10," - ")</f>
        <v>0</v>
      </c>
      <c r="H10" s="471">
        <f>IF(ISNUMBER(((NºAsuntos!G10/NºAsuntos!E10)-Datos!BD10)/Datos!BD10),((NºAsuntos!G10/NºAsuntos!E10)-Datos!BD10)/Datos!BD10," - ")</f>
        <v>-0.33333333333333331</v>
      </c>
      <c r="I10" s="472">
        <f>IF(ISNUMBER(((NºAsuntos!I10/NºAsuntos!G10)-Datos!BE10)/Datos!BE10),((NºAsuntos!I10/NºAsuntos!G10)-Datos!BE10)/Datos!BE10," - ")</f>
        <v>0.57894736842105265</v>
      </c>
      <c r="J10" s="477">
        <f>IF(ISNUMBER((('Resol  Asuntos'!D10/NºAsuntos!G10)-Datos!BF10)/Datos!BF10),(('Resol  Asuntos'!D10/NºAsuntos!G10)-Datos!BF10)/Datos!BF10," - ")</f>
        <v>-0.37499999999999994</v>
      </c>
      <c r="K10" s="478">
        <f>IF(ISNUMBER((((NºAsuntos!C10+NºAsuntos!E10)/NºAsuntos!G10)-Datos!BG10)/Datos!BG10),(((NºAsuntos!C10+NºAsuntos!E10)/NºAsuntos!G10)-Datos!BG10)/Datos!BG10," - ")</f>
        <v>0.29729729729729737</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99.379310344827587</v>
      </c>
      <c r="C13" s="1001">
        <f>IF(ISNUMBER(
   IF(J_V="SI",(Datos!J13-Datos!T13)/Datos!T13,(Datos!J13+Datos!Z13-(Datos!T13+Datos!AH13))/(Datos!T13+Datos!AH13))
     ),IF(J_V="SI",(Datos!J13-Datos!T13)/Datos!T13,(Datos!J13+Datos!Z13-(Datos!T13+Datos!AH13))/(Datos!T13+Datos!AH13))," - ")</f>
        <v>214.75</v>
      </c>
      <c r="D13" s="1001">
        <f>IF(ISNUMBER(
   IF(J_V="SI",(Datos!K13-Datos!U13)/Datos!U13,(Datos!K13+Datos!AA13-(Datos!U13+Datos!AI13))/(Datos!U13+Datos!AI13))
     ),IF(J_V="SI",(Datos!K13-Datos!U13)/Datos!U13,(Datos!K13+Datos!AA13-(Datos!U13+Datos!AI13))/(Datos!U13+Datos!AI13))," - ")</f>
        <v>68.222222222222229</v>
      </c>
      <c r="E13" s="1001">
        <f>IF(ISNUMBER(
   IF(J_V="SI",(Datos!L13-Datos!V13)/Datos!V13,(Datos!L13+Datos!AB13-(Datos!V13+Datos!AJ13))/(Datos!V13+Datos!AJ13))
     ),IF(J_V="SI",(Datos!L13-Datos!V13)/Datos!V13,(Datos!L13+Datos!AB13-(Datos!V13+Datos!AJ13))/(Datos!V13+Datos!AJ13))," - ")</f>
        <v>177.47368421052633</v>
      </c>
      <c r="F13" s="1002">
        <f>IF(ISNUMBER((Datos!M13-Datos!W13)/Datos!W13),(Datos!M13-Datos!W13)/Datos!W13," - ")</f>
        <v>23.75</v>
      </c>
      <c r="G13" s="1003">
        <f>IF(ISNUMBER((Datos!N13-Datos!X13)/Datos!X13),(Datos!N13-Datos!X13)/Datos!X13," - ")</f>
        <v>139.33333333333334</v>
      </c>
      <c r="H13" s="1003">
        <f>IF(ISNUMBER(((NºAsuntos!G13/NºAsuntos!E13)-Datos!BD13)/Datos!BD13),((NºAsuntos!G13/NºAsuntos!E13)-Datos!BD13)/Datos!BD13," - ")</f>
        <v>-0.67915540105574879</v>
      </c>
      <c r="I13" s="1003">
        <f>IF(ISNUMBER(((NºAsuntos!I13/NºAsuntos!G13)-Datos!BE13)/Datos!BE13),((NºAsuntos!I13/NºAsuntos!G13)-Datos!BE13)/Datos!BE13," - ")</f>
        <v>1.57827152150038</v>
      </c>
      <c r="J13" s="1003">
        <f>IF(ISNUMBER((('Resol  Asuntos'!D13/NºAsuntos!G13)-Datos!BF13)/Datos!BF13),(('Resol  Asuntos'!D13/NºAsuntos!G13)-Datos!BF13)/Datos!BF13," - ")</f>
        <v>-0.6424558587479936</v>
      </c>
      <c r="K13" s="1003">
        <f>IF(ISNUMBER((((NºAsuntos!C13+NºAsuntos!E13)/NºAsuntos!G13)-Datos!BG13)/Datos!BG13),(((NºAsuntos!C13+NºAsuntos!E13)/NºAsuntos!G13)-Datos!BG13)/Datos!BG13," - ")</f>
        <v>0.8104637542839791</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0.73863636363636365</v>
      </c>
      <c r="C17" s="472">
        <f>IF(ISNUMBER(
   IF(D_I="SI",(Datos!J17-Datos!T17)/Datos!T17,(Datos!J17+Datos!AD17-(Datos!T17+Datos!AL17))/(Datos!T17+Datos!AL17))
     ),IF(D_I="SI",(Datos!J17-Datos!T17)/Datos!T17,(Datos!J17+Datos!AD17-(Datos!T17+Datos!AL17))/(Datos!T17+Datos!AL17))," - ")</f>
        <v>5.6179775280898875E-2</v>
      </c>
      <c r="D17" s="472">
        <f>IF(ISNUMBER(
   IF(D_I="SI",(Datos!K17-Datos!U17)/Datos!U17,(Datos!K17+Datos!AE17-(Datos!U17+Datos!AM17))/(Datos!U17+Datos!AM17))
     ),IF(D_I="SI",(Datos!K17-Datos!U17)/Datos!U17,(Datos!K17+Datos!AE17-(Datos!U17+Datos!AM17))/(Datos!U17+Datos!AM17))," - ")</f>
        <v>-0.4175824175824176</v>
      </c>
      <c r="E17" s="472">
        <f>IF(ISNUMBER(
   IF(D_I="SI",(Datos!L17-Datos!V17)/Datos!V17,(Datos!L17+Datos!AF17-(Datos!V17+Datos!AN17))/(Datos!V17+Datos!AN17))
     ),IF(D_I="SI",(Datos!L17-Datos!V17)/Datos!V17,(Datos!L17+Datos!AF17-(Datos!V17+Datos!AN17))/(Datos!V17+Datos!AN17))," - ")</f>
        <v>1.2558139534883721</v>
      </c>
      <c r="F17" s="472">
        <f>IF(ISNUMBER((Datos!M17-Datos!W17)/Datos!W17),(Datos!M17-Datos!W17)/Datos!W17," - ")</f>
        <v>0</v>
      </c>
      <c r="G17" s="473">
        <f>IF(ISNUMBER((Datos!N17-Datos!X17)/Datos!X17),(Datos!N17-Datos!X17)/Datos!X17," - ")</f>
        <v>0.12280701754385964</v>
      </c>
      <c r="H17" s="471">
        <f>IF(ISNUMBER(((NºAsuntos!G17/NºAsuntos!E17)-Datos!BD17)/Datos!BD17),((NºAsuntos!G17/NºAsuntos!E17)-Datos!BD17)/Datos!BD17," - ")</f>
        <v>-0.44856207622165073</v>
      </c>
      <c r="I17" s="472">
        <f>IF(ISNUMBER(((NºAsuntos!I17/NºAsuntos!G17)-Datos!BE17)/Datos!BE17),((NºAsuntos!I17/NºAsuntos!G17)-Datos!BE17)/Datos!BE17," - ")</f>
        <v>2.873189995612111</v>
      </c>
      <c r="J17" s="477">
        <f>IF(ISNUMBER((('Resol  Asuntos'!D17/NºAsuntos!G17)-Datos!BF17)/Datos!BF17),(('Resol  Asuntos'!D17/NºAsuntos!G17)-Datos!BF17)/Datos!BF17," - ")</f>
        <v>0.71698113207547154</v>
      </c>
      <c r="K17" s="478">
        <f>IF(ISNUMBER((((NºAsuntos!C17+NºAsuntos!E17)/NºAsuntos!G17)-Datos!BG17)/Datos!BG17),(((NºAsuntos!C17+NºAsuntos!E17)/NºAsuntos!G17)-Datos!BG17)/Datos!BG17," - ")</f>
        <v>1.396013218207014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15.704545454545455</v>
      </c>
      <c r="C18" s="1001">
        <f>IF(ISNUMBER(
   IF(Criterios!B14="SI",(Datos!J18-Datos!T18)/Datos!T18,(Datos!J18+Datos!AD18-(Datos!T18+Datos!AL18))/(Datos!T18+Datos!AL18))
     ),IF(Criterios!B14="SI",(Datos!J18-Datos!T18)/Datos!T18,(Datos!J18+Datos!AD18-(Datos!T18+Datos!AL18))/(Datos!T18+Datos!AL18))," - ")</f>
        <v>15.325842696629213</v>
      </c>
      <c r="D18" s="1001">
        <f>IF(ISNUMBER(
   IF(Criterios!B14="SI",(Datos!K18-Datos!U18)/Datos!U18,(Datos!K18+Datos!AE18-(Datos!U18+Datos!AM18))/(Datos!U18+Datos!AM18))
     ),IF(Criterios!B14="SI",(Datos!K18-Datos!U18)/Datos!U18,(Datos!K18+Datos!AE18-(Datos!U18+Datos!AM18))/(Datos!U18+Datos!AM18))," - ")</f>
        <v>11.010989010989011</v>
      </c>
      <c r="E18" s="1001">
        <f>IF(ISNUMBER(
   IF(Criterios!B14="SI",(Datos!L18-Datos!V18)/Datos!V18,(Datos!L18+Datos!AF18-(Datos!V18+Datos!AN18))/(Datos!V18+Datos!AN18))
     ),IF(Criterios!B14="SI",(Datos!L18-Datos!V18)/Datos!V18,(Datos!L18+Datos!AF18-(Datos!V18+Datos!AN18))/(Datos!V18+Datos!AN18))," - ")</f>
        <v>20.720930232558139</v>
      </c>
      <c r="F18" s="1002">
        <f>IF(ISNUMBER((Datos!M18-Datos!W18)/Datos!W18),(Datos!M18-Datos!W18)/Datos!W18," - ")</f>
        <v>13.714285714285714</v>
      </c>
      <c r="G18" s="1003">
        <f>IF(ISNUMBER((Datos!N18-Datos!X18)/Datos!X18),(Datos!N18-Datos!X18)/Datos!X18," - ")</f>
        <v>14.298245614035087</v>
      </c>
      <c r="H18" s="1003">
        <f>IF(ISNUMBER(((NºAsuntos!G18/NºAsuntos!E18)-Datos!BD18)/Datos!BD18),((NºAsuntos!G18/NºAsuntos!E18)-Datos!BD18)/Datos!BD18," - ")</f>
        <v>-0.26429592430968896</v>
      </c>
      <c r="I18" s="1003">
        <f>IF(ISNUMBER(((NºAsuntos!I18/NºAsuntos!G18)-Datos!BE18)/Datos!BE18),((NºAsuntos!I18/NºAsuntos!G18)-Datos!BE18)/Datos!BE18," - ")</f>
        <v>0.80842145577565483</v>
      </c>
      <c r="J18" s="1003">
        <f>IF(ISNUMBER((('Resol  Asuntos'!D18/NºAsuntos!G18)-Datos!BF18)/Datos!BF18),(('Resol  Asuntos'!D18/NºAsuntos!G18)-Datos!BF18)/Datos!BF18," - ")</f>
        <v>0.22506861848124426</v>
      </c>
      <c r="K18" s="1003">
        <f>IF(ISNUMBER((((NºAsuntos!C18+NºAsuntos!E18)/NºAsuntos!G18)-Datos!BG18)/Datos!BG18),(((NºAsuntos!C18+NºAsuntos!E18)/NºAsuntos!G18)-Datos!BG18)/Datos!BG18," - ")</f>
        <v>0.37491794211753282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36.444444444444443</v>
      </c>
      <c r="C19" s="948">
        <f>IF(ISNUMBER(
   IF(J_V="SI",(Datos!J19-Datos!T19)/Datos!T19,(Datos!J19+Datos!Z19-(Datos!T19+Datos!AH19))/(Datos!T19+Datos!AH19))
     ),IF(J_V="SI",(Datos!J19-Datos!T19)/Datos!T19,(Datos!J19+Datos!Z19-(Datos!T19+Datos!AH19))/(Datos!T19+Datos!AH19))," - ")</f>
        <v>31.773195876288661</v>
      </c>
      <c r="D19" s="948">
        <f>IF(ISNUMBER(
   IF(J_V="SI",(Datos!K19-Datos!U19)/Datos!U19,(Datos!K19+Datos!AA19-(Datos!U19+Datos!AI19))/(Datos!U19+Datos!AI19))
     ),IF(J_V="SI",(Datos!K19-Datos!U19)/Datos!U19,(Datos!K19+Datos!AA19-(Datos!U19+Datos!AI19))/(Datos!U19+Datos!AI19))," - ")</f>
        <v>20.458715596330276</v>
      </c>
      <c r="E19" s="948">
        <f>IF(ISNUMBER(
   IF(J_V="SI",(Datos!L19-Datos!V19)/Datos!V19,(Datos!L19+Datos!AB19-(Datos!V19+Datos!AJ19))/(Datos!V19+Datos!AJ19))
     ),IF(J_V="SI",(Datos!L19-Datos!V19)/Datos!V19,(Datos!L19+Datos!AB19-(Datos!V19+Datos!AJ19))/(Datos!V19+Datos!AJ19))," - ")</f>
        <v>49.085714285714289</v>
      </c>
      <c r="F19" s="949">
        <f>IF(ISNUMBER((Datos!M19-Datos!W19)/Datos!W19),(Datos!M19-Datos!W19)/Datos!W19," - ")</f>
        <v>20.05263157894737</v>
      </c>
      <c r="G19" s="950">
        <f>IF(ISNUMBER((Datos!N19-Datos!X19)/Datos!X19),(Datos!N19-Datos!X19)/Datos!X19," - ")</f>
        <v>20.55</v>
      </c>
      <c r="H19" s="951">
        <f>IF(ISNUMBER((Tasas!B19-Datos!BD19)/Datos!BD19),(Tasas!B19-Datos!BD19)/Datos!BD19," - ")</f>
        <v>-0.34523579338029675</v>
      </c>
      <c r="I19" s="952">
        <f>IF(ISNUMBER((Tasas!C19-Datos!BE19)/Datos!BE19),(Tasas!C19-Datos!BE19)/Datos!BE19," - ")</f>
        <v>1.3340499603004945</v>
      </c>
      <c r="J19" s="953">
        <f>IF(ISNUMBER((Tasas!D19-Datos!BF19)/Datos!BF19),(Tasas!D19-Datos!BF19)/Datos!BF19," - ")</f>
        <v>-1.8923966607412114E-2</v>
      </c>
      <c r="K19" s="953">
        <f>IF(ISNUMBER((Tasas!E19-Datos!BG19)/Datos!BG19),(Tasas!E19-Datos!BG19)/Datos!BG19," - ")</f>
        <v>0.64628225977232856</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Z3eb1Fr9fdp1y2I+AbnOJDf04iMkhuj1xpw4dRyG+oUARF1zkcNA2xiVr67E/c8QBU6Jt6JjF+3aKPwze6zmnw==" saltValue="pP0BLPRAbREie2advFHRd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LEON</v>
      </c>
    </row>
    <row r="4" spans="1:7" ht="11.25" customHeight="1" thickBot="1">
      <c r="B4" s="402" t="str">
        <f>Criterios!A11 &amp;"  "&amp;Criterios!B11</f>
        <v>Resumenes por Partidos Judiciales  PONFERRADA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0.71827706635622812</v>
      </c>
      <c r="C9" s="459">
        <f>IF(ISNUMBER(NºAsuntos!I9/NºAsuntos!G9),NºAsuntos!I9/NºAsuntos!G9," - ")</f>
        <v>2.7317666126418154</v>
      </c>
      <c r="D9" s="460">
        <f>IF(ISNUMBER('Resol  Asuntos'!D9/NºAsuntos!G9),'Resol  Asuntos'!D9/NºAsuntos!G9," - ")</f>
        <v>0.23662884927066449</v>
      </c>
      <c r="E9" s="461">
        <f>IF(ISNUMBER((NºAsuntos!C9+NºAsuntos!E9)/NºAsuntos!G9),(NºAsuntos!C9+NºAsuntos!E9)/NºAsuntos!G9," - ")</f>
        <v>3.7317666126418154</v>
      </c>
      <c r="G9" s="479"/>
    </row>
    <row r="10" spans="1:7">
      <c r="A10" s="413" t="str">
        <f>Datos!A10</f>
        <v>Jdos. Violencia contra la mujer</v>
      </c>
      <c r="B10" s="458">
        <f>IF(ISNUMBER(NºAsuntos!G10/NºAsuntos!E10),NºAsuntos!G10/NºAsuntos!E10," - ")</f>
        <v>1.5</v>
      </c>
      <c r="C10" s="459">
        <f>IF(ISNUMBER(NºAsuntos!I10/NºAsuntos!G10),NºAsuntos!I10/NºAsuntos!G10," - ")</f>
        <v>1.6666666666666667</v>
      </c>
      <c r="D10" s="460">
        <f>IF(ISNUMBER('Resol  Asuntos'!D10/NºAsuntos!G10),'Resol  Asuntos'!D10/NºAsuntos!G10," - ")</f>
        <v>0.41666666666666669</v>
      </c>
      <c r="E10" s="461">
        <f>IF(ISNUMBER((NºAsuntos!C10+NºAsuntos!E10)/NºAsuntos!G10),(NºAsuntos!C10+NºAsuntos!E10)/NºAsuntos!G10," - ")</f>
        <v>2.6666666666666665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0.72190034762456545</v>
      </c>
      <c r="C13" s="1005">
        <f>IF(ISNUMBER(NºAsuntos!I13/NºAsuntos!G13),NºAsuntos!I13/NºAsuntos!G13," - ")</f>
        <v>2.7215088282504012</v>
      </c>
      <c r="D13" s="1006">
        <f>IF(ISNUMBER('Resol  Asuntos'!D13/NºAsuntos!G13),'Resol  Asuntos'!D13/NºAsuntos!G13," - ")</f>
        <v>0.23836276083467095</v>
      </c>
      <c r="E13" s="1007">
        <f>IF(ISNUMBER((NºAsuntos!C13+NºAsuntos!E13)/NºAsuntos!G13),(NºAsuntos!C13+NºAsuntos!E13)/NºAsuntos!G13," - ")</f>
        <v>3.7215088282504012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0.76526857983811625</v>
      </c>
      <c r="C15" s="459">
        <f>IF(ISNUMBER(NºAsuntos!I15/NºAsuntos!G15),NºAsuntos!I15/NºAsuntos!G15," - ")</f>
        <v>1.6096153846153847</v>
      </c>
      <c r="D15" s="460">
        <f>IF(ISNUMBER('Resol  Asuntos'!D15/NºAsuntos!G15),'Resol  Asuntos'!D15/NºAsuntos!G15," - ")</f>
        <v>9.2307692307692313E-2</v>
      </c>
      <c r="E15" s="461">
        <f>IF(ISNUMBER((NºAsuntos!C15+NºAsuntos!E15)/NºAsuntos!G15),(NºAsuntos!C15+NºAsuntos!E15)/NºAsuntos!G15," - ")</f>
        <v>2.5730769230769233</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0.56382978723404253</v>
      </c>
      <c r="C17" s="459">
        <f>IF(ISNUMBER(NºAsuntos!I17/NºAsuntos!G17),NºAsuntos!I17/NºAsuntos!G17," - ")</f>
        <v>3.6603773584905661</v>
      </c>
      <c r="D17" s="460">
        <f>IF(ISNUMBER('Resol  Asuntos'!D17/NºAsuntos!G17),'Resol  Asuntos'!D17/NºAsuntos!G17," - ")</f>
        <v>0.13207547169811321</v>
      </c>
      <c r="E17" s="461">
        <f>IF(ISNUMBER((NºAsuntos!C17+NºAsuntos!E17)/NºAsuntos!G17),(NºAsuntos!C17+NºAsuntos!E17)/NºAsuntos!G17," - ")</f>
        <v>4.6603773584905657</v>
      </c>
      <c r="G17" s="479"/>
    </row>
    <row r="18" spans="1:7" ht="14.25" thickTop="1" thickBot="1">
      <c r="A18" s="994" t="str">
        <f>Datos!A18</f>
        <v>TOTAL</v>
      </c>
      <c r="B18" s="1004">
        <f>IF(ISNUMBER(NºAsuntos!G18/NºAsuntos!E18),NºAsuntos!G18/NºAsuntos!E18," - ")</f>
        <v>0.75223675154852032</v>
      </c>
      <c r="C18" s="1005">
        <f>IF(ISNUMBER(NºAsuntos!I18/NºAsuntos!G18),NºAsuntos!I18/NºAsuntos!G18," - ")</f>
        <v>1.7090576395242452</v>
      </c>
      <c r="D18" s="1008">
        <f>IF(ISNUMBER('Resol  Asuntos'!D18/NºAsuntos!G18),'Resol  Asuntos'!D18/NºAsuntos!G18," - ")</f>
        <v>9.4236047575480333E-2</v>
      </c>
      <c r="E18" s="1007">
        <f>IF(ISNUMBER((NºAsuntos!C18+NºAsuntos!E18)/NºAsuntos!G18),(NºAsuntos!C18+NºAsuntos!E18)/NºAsuntos!G18," - ")</f>
        <v>2.6742909423604759</v>
      </c>
      <c r="G18" s="479"/>
    </row>
    <row r="19" spans="1:7" ht="15.75" customHeight="1" thickTop="1" thickBot="1">
      <c r="A19" s="939" t="str">
        <f>Datos!A19</f>
        <v>TOTAL JURISDICCIONES</v>
      </c>
      <c r="B19" s="954">
        <f>IF(ISNUMBER(NºAsuntos!G19/NºAsuntos!E19),NºAsuntos!G19/NºAsuntos!E19," - ")</f>
        <v>0.73576596413966655</v>
      </c>
      <c r="C19" s="955">
        <f>IF(ISNUMBER(NºAsuntos!I19/NºAsuntos!G19),NºAsuntos!I19/NºAsuntos!G19," - ")</f>
        <v>2.2483967507481828</v>
      </c>
      <c r="D19" s="956">
        <f>IF(ISNUMBER('Resol  Asuntos'!D19/NºAsuntos!G19),'Resol  Asuntos'!D19/NºAsuntos!G19," - ")</f>
        <v>0.17101325352714836</v>
      </c>
      <c r="E19" s="957">
        <f>IF(ISNUMBER((NºAsuntos!C19+NºAsuntos!E19)/NºAsuntos!G19),(NºAsuntos!C19+NºAsuntos!E19)/NºAsuntos!G19," - ")</f>
        <v>3.2321504916631039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PkUjIBDdHkyq6gACWNnDEHrSnuIXukDAk3dzJJgiGCCwoMK4i+RY/wP8w8rE25fE3BVfTWnIRqpF29c9irObBg==" saltValue="LXJXkKRHtuxbtuUX5/8mA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LEON</v>
      </c>
      <c r="N2" s="338" t="str">
        <f>Criterios!A11 &amp;"  "&amp;Criterios!B11</f>
        <v>Resumenes por Partidos Judiciales  PONFERRADA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5</v>
      </c>
      <c r="B9" s="181" t="s">
        <v>249</v>
      </c>
      <c r="C9" s="164" t="str">
        <f>Datos!A9</f>
        <v xml:space="preserve">Jdos. 1ª Instancia   </v>
      </c>
      <c r="D9" s="164"/>
      <c r="E9" s="1201">
        <f>IF(ISNUMBER(Datos!AQ9),Datos!AQ9," - ")</f>
        <v>5</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223</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92</v>
      </c>
      <c r="Y9" s="343">
        <f>SUM(W9:X9)</f>
        <v>92</v>
      </c>
      <c r="Z9" s="344" t="str">
        <f>IF(ISNUMBER(Datos!CC9),Datos!CC9," - ")</f>
        <v xml:space="preserve"> - </v>
      </c>
      <c r="AA9" s="341" t="str">
        <f>IF(ISNUMBER(IF(J_V="SI",Datos!L9,Datos!L9+Datos!AB9)-IF(Monitorios="SI",Datos!CD9,0)),
                          IF(J_V="SI",Datos!L9,Datos!L9+Datos!AB9)-IF(Monitorios="SI",Datos!CD9,0),
                          " - ")</f>
        <v xml:space="preserve"> - </v>
      </c>
      <c r="AB9" s="343">
        <f>IF(ISNUMBER(Datos!R9),Datos!R9," - ")</f>
        <v>4430</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292</v>
      </c>
      <c r="AJ9" s="233" t="str">
        <f>IF(ISNUMBER(Datos!BW9),Datos!BW9," - ")</f>
        <v xml:space="preserve"> - </v>
      </c>
      <c r="AK9" s="232" t="str">
        <f>IF(ISNUMBER(Datos!BX9),Datos!BX9," - ")</f>
        <v xml:space="preserve"> - </v>
      </c>
      <c r="AL9" s="247">
        <f>IF(ISNUMBER(NºAsuntos!G9/NºAsuntos!E9),NºAsuntos!G9/NºAsuntos!E9," - ")</f>
        <v>0.71827706635622812</v>
      </c>
      <c r="AM9" s="264">
        <f>IF(ISNUMBER(((NºAsuntos!I9/NºAsuntos!G9)*11)/factor_trimestre),((NºAsuntos!I9/NºAsuntos!G9)*11)/factor_trimestre," - ")</f>
        <v>5.4635332252836308</v>
      </c>
      <c r="AN9" s="248">
        <f>IF(ISNUMBER('Resol  Asuntos'!D9/NºAsuntos!G9),'Resol  Asuntos'!D9/NºAsuntos!G9," - ")</f>
        <v>0.23662884927066449</v>
      </c>
      <c r="AO9" s="249">
        <f>IF(ISNUMBER((NºAsuntos!C9+NºAsuntos!E9)/NºAsuntos!G9),(NºAsuntos!C9+NºAsuntos!E9)/NºAsuntos!G9," - ")</f>
        <v>3.7317666126418154</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24</v>
      </c>
      <c r="G10" s="342">
        <f>IF(ISNUMBER(Datos!I10),Datos!I10," - ")</f>
        <v>24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12</v>
      </c>
      <c r="X10" s="230">
        <f>IF(ISNUMBER(Datos!Q10),Datos!Q10," - ")</f>
        <v>0</v>
      </c>
      <c r="Y10" s="343">
        <f t="shared" ref="Y10:Y12" si="0">SUM(W10:X10)</f>
        <v>12</v>
      </c>
      <c r="Z10" s="344" t="str">
        <f>IF(ISNUMBER(Datos!CC10),Datos!CC10," - ")</f>
        <v xml:space="preserve"> - </v>
      </c>
      <c r="AA10" s="341">
        <f>IF(ISNUMBER(Datos!L10),Datos!L10,"-")</f>
        <v>20</v>
      </c>
      <c r="AB10" s="343">
        <f>IF(ISNUMBER(Datos!R10),Datos!R10," - ")</f>
        <v>43</v>
      </c>
      <c r="AC10" s="343">
        <f t="shared" ref="AC10:AC12" si="1">IF(ISNUMBER(AA10+AB10),AA10+AB10," - ")</f>
        <v>63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5</v>
      </c>
      <c r="AJ10" s="235" t="str">
        <f>IF(ISNUMBER(Datos!BW10),Datos!BW10," - ")</f>
        <v xml:space="preserve"> - </v>
      </c>
      <c r="AK10" s="236" t="str">
        <f>IF(ISNUMBER(Datos!BX10),Datos!BX10," - ")</f>
        <v xml:space="preserve"> - </v>
      </c>
      <c r="AL10" s="247">
        <f>IF(ISNUMBER(NºAsuntos!G10/NºAsuntos!E10),NºAsuntos!G10/NºAsuntos!E10," - ")</f>
        <v>1.5</v>
      </c>
      <c r="AM10" s="264">
        <f>IF(ISNUMBER(((NºAsuntos!I10/NºAsuntos!G10)*11)/factor_trimestre),((NºAsuntos!I10/NºAsuntos!G10)*11)/factor_trimestre," - ")</f>
        <v>3.3333333333333339</v>
      </c>
      <c r="AN10" s="248">
        <f>IF(ISNUMBER('Resol  Asuntos'!D10/NºAsuntos!G10),'Resol  Asuntos'!D10/NºAsuntos!G10," - ")</f>
        <v>0.41666666666666669</v>
      </c>
      <c r="AO10" s="249">
        <f>IF(ISNUMBER((NºAsuntos!C10+NºAsuntos!E10)/NºAsuntos!G10),(NºAsuntos!C10+NºAsuntos!E10)/NºAsuntos!G10," - ")</f>
        <v>2.6666666666666665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5</v>
      </c>
      <c r="F13" s="1011">
        <f t="shared" si="3"/>
        <v>24</v>
      </c>
      <c r="G13" s="1012">
        <f t="shared" si="3"/>
        <v>24</v>
      </c>
      <c r="H13" s="1011">
        <f t="shared" si="3"/>
        <v>0</v>
      </c>
      <c r="I13" s="1013">
        <f t="shared" si="3"/>
        <v>0</v>
      </c>
      <c r="J13" s="1013">
        <f t="shared" si="3"/>
        <v>0</v>
      </c>
      <c r="K13" s="1013">
        <f t="shared" si="3"/>
        <v>0</v>
      </c>
      <c r="L13" s="1013">
        <f t="shared" si="3"/>
        <v>223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12</v>
      </c>
      <c r="X13" s="1013">
        <f t="shared" si="4"/>
        <v>92</v>
      </c>
      <c r="Y13" s="1014">
        <f t="shared" si="4"/>
        <v>104</v>
      </c>
      <c r="Z13" s="1014">
        <f t="shared" si="4"/>
        <v>0</v>
      </c>
      <c r="AA13" s="1014">
        <f t="shared" si="4"/>
        <v>20</v>
      </c>
      <c r="AB13" s="1014">
        <f t="shared" si="4"/>
        <v>4473</v>
      </c>
      <c r="AC13" s="1014">
        <f t="shared" si="4"/>
        <v>63</v>
      </c>
      <c r="AD13" s="1014">
        <f t="shared" si="4"/>
        <v>0</v>
      </c>
      <c r="AE13" s="1018">
        <f t="shared" si="4"/>
        <v>0</v>
      </c>
      <c r="AF13" s="1011">
        <f t="shared" si="4"/>
        <v>0</v>
      </c>
      <c r="AG13" s="1019">
        <f t="shared" si="4"/>
        <v>0</v>
      </c>
      <c r="AH13" s="1016">
        <f t="shared" si="4"/>
        <v>0</v>
      </c>
      <c r="AI13" s="1011">
        <f t="shared" si="4"/>
        <v>297</v>
      </c>
      <c r="AJ13" s="1013">
        <f t="shared" si="4"/>
        <v>0</v>
      </c>
      <c r="AK13" s="1016">
        <f>SUBTOTAL(9,AK9:AK12)</f>
        <v>0</v>
      </c>
      <c r="AL13" s="1020">
        <f>IF(ISNUMBER(NºAsuntos!G13/NºAsuntos!E13),NºAsuntos!G13/NºAsuntos!E13," - ")</f>
        <v>0.72190034762456545</v>
      </c>
      <c r="AM13" s="1020">
        <f>IF(ISNUMBER(((NºAsuntos!I13/NºAsuntos!G13)*11)/factor_trimestre),((NºAsuntos!I13/NºAsuntos!G13)*11)/factor_trimestre," - ")</f>
        <v>5.4430176565008024</v>
      </c>
      <c r="AN13" s="1021">
        <f>IF(ISNUMBER('Resol  Asuntos'!D13/NºAsuntos!G13),'Resol  Asuntos'!D13/NºAsuntos!G13," - ")</f>
        <v>0.23836276083467095</v>
      </c>
      <c r="AO13" s="1022">
        <f>IF(ISNUMBER((NºAsuntos!C13+NºAsuntos!E13)/NºAsuntos!G13),(NºAsuntos!C13+NºAsuntos!E13)/NºAsuntos!G13," - ")</f>
        <v>3.7215088282504012</v>
      </c>
      <c r="AP13" s="1023" t="str">
        <f t="shared" si="2"/>
        <v xml:space="preserve"> - </v>
      </c>
      <c r="AQ13" s="1023">
        <f>IF(ISNUMBER((H13-W13+K13)/(F13)),(H13-W13+K13)/(F13)," - ")</f>
        <v>-0.5</v>
      </c>
      <c r="AR13" s="1024">
        <f>IF(ISNUMBER((Datos!P13-Datos!Q13)/(Datos!R13-Datos!P13+Datos!Q13)),(Datos!P13-Datos!Q13)/(Datos!R13-Datos!P13+Datos!Q13)," - ")</f>
        <v>3.0170428374021188E-2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3</v>
      </c>
      <c r="B15" s="279" t="s">
        <v>400</v>
      </c>
      <c r="C15" s="164" t="str">
        <f>Datos!A15</f>
        <v xml:space="preserve">Jdos. Instrucción                               </v>
      </c>
      <c r="D15" s="164"/>
      <c r="E15" s="1201">
        <f>IF(ISNUMBER(Datos!AQ15),Datos!AQ15," - ")</f>
        <v>3</v>
      </c>
      <c r="F15" s="229">
        <f>IF(ISNUMBER(AA15+W15-Datos!J15-K15),AA15+W15-Datos!J15-K15," - ")</f>
        <v>1355</v>
      </c>
      <c r="G15" s="342">
        <f>IF(ISNUMBER(IF(D_I="SI",Datos!I15,Datos!I15+Datos!AC15)),IF(D_I="SI",Datos!I15,Datos!I15+Datos!AC15)," - ")</f>
        <v>1317</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11</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1040</v>
      </c>
      <c r="X15" s="230">
        <f>IF(ISNUMBER(Datos!Q15),Datos!Q15," - ")</f>
        <v>20</v>
      </c>
      <c r="Y15" s="343">
        <f>SUM(W15)</f>
        <v>1040</v>
      </c>
      <c r="Z15" s="344" t="str">
        <f>IF(ISNUMBER(Datos!CC15),Datos!CC15," - ")</f>
        <v xml:space="preserve"> - </v>
      </c>
      <c r="AA15" s="341">
        <f>IF(ISNUMBER(IF(D_I="SI",Datos!L15,Datos!L15+Datos!AF15)),IF(D_I="SI",Datos!L15,Datos!L15+Datos!AF15)," - ")</f>
        <v>1674</v>
      </c>
      <c r="AB15" s="343">
        <f>IF(ISNUMBER(Datos!R15),Datos!R15," - ")</f>
        <v>236</v>
      </c>
      <c r="AC15" s="343">
        <f t="shared" ref="AC15:AC17" si="6">IF(ISNUMBER(AA15+AB15),AA15+AB15," - ")</f>
        <v>1910</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96</v>
      </c>
      <c r="AJ15" s="235" t="str">
        <f>IF(ISNUMBER(Datos!BW15),Datos!BW15," - ")</f>
        <v xml:space="preserve"> - </v>
      </c>
      <c r="AK15" s="236" t="str">
        <f>IF(ISNUMBER(Datos!BX15),Datos!BX15," - ")</f>
        <v xml:space="preserve"> - </v>
      </c>
      <c r="AL15" s="247">
        <f>IF(ISNUMBER(NºAsuntos!G15/NºAsuntos!E15),NºAsuntos!G15/NºAsuntos!E15," - ")</f>
        <v>0.76526857983811625</v>
      </c>
      <c r="AM15" s="264">
        <f>IF(ISNUMBER(((NºAsuntos!I15/NºAsuntos!G15)*11)/factor_trimestre),((NºAsuntos!I15/NºAsuntos!G15)*11)/factor_trimestre," - ")</f>
        <v>3.2192307692307693</v>
      </c>
      <c r="AN15" s="248">
        <f>IF(ISNUMBER('Resol  Asuntos'!D15/NºAsuntos!G15),'Resol  Asuntos'!D15/NºAsuntos!G15," - ")</f>
        <v>9.2307692307692313E-2</v>
      </c>
      <c r="AO15" s="249">
        <f>IF(ISNUMBER((NºAsuntos!C15+NºAsuntos!E15)/NºAsuntos!G15),(NºAsuntos!C15+NºAsuntos!E15)/NºAsuntos!G15," - ")</f>
        <v>2.5730769230769233</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153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53</v>
      </c>
      <c r="X17" s="230">
        <f>IF(ISNUMBER(Datos!Q17),Datos!Q17," - ")</f>
        <v>0</v>
      </c>
      <c r="Y17" s="343">
        <f t="shared" si="7"/>
        <v>53</v>
      </c>
      <c r="Z17" s="344" t="str">
        <f>IF(ISNUMBER(Datos!CC17),Datos!CC17," - ")</f>
        <v xml:space="preserve"> - </v>
      </c>
      <c r="AA17" s="341">
        <f>IF(ISNUMBER(Datos!L17),Datos!L17,"-")</f>
        <v>194</v>
      </c>
      <c r="AB17" s="343">
        <f>IF(ISNUMBER(Datos!R17),Datos!R17," - ")</f>
        <v>3</v>
      </c>
      <c r="AC17" s="343">
        <f t="shared" si="6"/>
        <v>197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7</v>
      </c>
      <c r="AJ17" s="235" t="str">
        <f>IF(ISNUMBER(Datos!BW17),Datos!BW17," - ")</f>
        <v xml:space="preserve"> - </v>
      </c>
      <c r="AK17" s="236" t="str">
        <f>IF(ISNUMBER(Datos!BX17),Datos!BX17," - ")</f>
        <v xml:space="preserve"> - </v>
      </c>
      <c r="AL17" s="247">
        <f>IF(ISNUMBER(NºAsuntos!G17/NºAsuntos!E17),NºAsuntos!G17/NºAsuntos!E17," - ")</f>
        <v>0.56382978723404253</v>
      </c>
      <c r="AM17" s="264">
        <f>IF(ISNUMBER(((NºAsuntos!I17/NºAsuntos!G17)*11)/factor_trimestre),((NºAsuntos!I17/NºAsuntos!G17)*11)/factor_trimestre," - ")</f>
        <v>7.3207547169811313</v>
      </c>
      <c r="AN17" s="248">
        <f>IF(ISNUMBER('Resol  Asuntos'!D17/NºAsuntos!G17),'Resol  Asuntos'!D17/NºAsuntos!G17," - ")</f>
        <v>0.13207547169811321</v>
      </c>
      <c r="AO17" s="249">
        <f>IF(ISNUMBER((NºAsuntos!C17+NºAsuntos!E17)/NºAsuntos!G17),(NºAsuntos!C17+NºAsuntos!E17)/NºAsuntos!G17," - ")</f>
        <v>4.6603773584905657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1355</v>
      </c>
      <c r="G18" s="1012">
        <f>SUBTOTAL(9,G15:G17)</f>
        <v>1470</v>
      </c>
      <c r="H18" s="1011">
        <f t="shared" ref="H18:O18" si="10">SUBTOTAL(9,H14:H17)</f>
        <v>0</v>
      </c>
      <c r="I18" s="1013">
        <f t="shared" si="10"/>
        <v>0</v>
      </c>
      <c r="J18" s="1013">
        <f t="shared" si="10"/>
        <v>0</v>
      </c>
      <c r="K18" s="1013">
        <f t="shared" si="10"/>
        <v>0</v>
      </c>
      <c r="L18" s="1013">
        <f t="shared" si="10"/>
        <v>11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1093</v>
      </c>
      <c r="X18" s="1013">
        <f t="shared" si="11"/>
        <v>20</v>
      </c>
      <c r="Y18" s="1014">
        <f t="shared" si="11"/>
        <v>1093</v>
      </c>
      <c r="Z18" s="1014">
        <f t="shared" si="11"/>
        <v>0</v>
      </c>
      <c r="AA18" s="1014">
        <f t="shared" si="11"/>
        <v>1868</v>
      </c>
      <c r="AB18" s="1014">
        <f t="shared" si="11"/>
        <v>239</v>
      </c>
      <c r="AC18" s="1014">
        <f t="shared" si="11"/>
        <v>2107</v>
      </c>
      <c r="AD18" s="1014">
        <f t="shared" si="11"/>
        <v>0</v>
      </c>
      <c r="AE18" s="1018">
        <f t="shared" si="11"/>
        <v>0</v>
      </c>
      <c r="AF18" s="1011">
        <f t="shared" si="11"/>
        <v>0</v>
      </c>
      <c r="AG18" s="1019">
        <f t="shared" si="11"/>
        <v>0</v>
      </c>
      <c r="AH18" s="1016">
        <f t="shared" si="11"/>
        <v>0</v>
      </c>
      <c r="AI18" s="1011">
        <f t="shared" si="11"/>
        <v>103</v>
      </c>
      <c r="AJ18" s="1013">
        <f t="shared" si="11"/>
        <v>0</v>
      </c>
      <c r="AK18" s="1016">
        <f t="shared" si="11"/>
        <v>0</v>
      </c>
      <c r="AL18" s="1020">
        <f>IF(ISNUMBER(NºAsuntos!G18/NºAsuntos!E18),NºAsuntos!G18/NºAsuntos!E18," - ")</f>
        <v>0.75223675154852032</v>
      </c>
      <c r="AM18" s="1020">
        <f>IF(ISNUMBER(((NºAsuntos!I18/NºAsuntos!G18)*11)/factor_trimestre),((NºAsuntos!I18/NºAsuntos!G18)*11)/factor_trimestre," - ")</f>
        <v>3.4181152790484903</v>
      </c>
      <c r="AN18" s="1021">
        <f>IF(ISNUMBER('Resol  Asuntos'!D18/NºAsuntos!G18),'Resol  Asuntos'!D18/NºAsuntos!G18," - ")</f>
        <v>9.4236047575480333E-2</v>
      </c>
      <c r="AO18" s="1022">
        <f>IF(ISNUMBER((NºAsuntos!C18+NºAsuntos!E18)/NºAsuntos!G18),(NºAsuntos!C18+NºAsuntos!E18)/NºAsuntos!G18," - ")</f>
        <v>2.6742909423604759</v>
      </c>
      <c r="AP18" s="1023" t="str">
        <f t="shared" si="2"/>
        <v xml:space="preserve"> - </v>
      </c>
      <c r="AQ18" s="1023">
        <f>IF(ISNUMBER((H18-W18+K18)/(F18)),(H18-W18+K18)/(F18)," - ")</f>
        <v>-0.80664206642066416</v>
      </c>
      <c r="AR18" s="1024">
        <f>IF(ISNUMBER((Datos!P18-Datos!Q18)/(Datos!R18-Datos!P18+Datos!Q18)),(Datos!P18-Datos!Q18)/(Datos!R18-Datos!P18+Datos!Q18)," - ")</f>
        <v>-3.6290322580645164E-2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1379</v>
      </c>
      <c r="G19" s="967">
        <f t="shared" si="13"/>
        <v>1494</v>
      </c>
      <c r="H19" s="966">
        <f t="shared" si="13"/>
        <v>0</v>
      </c>
      <c r="I19" s="968">
        <f t="shared" si="13"/>
        <v>0</v>
      </c>
      <c r="J19" s="968">
        <f t="shared" si="13"/>
        <v>0</v>
      </c>
      <c r="K19" s="1027">
        <f t="shared" si="13"/>
        <v>0</v>
      </c>
      <c r="L19" s="968">
        <f t="shared" si="13"/>
        <v>234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1105</v>
      </c>
      <c r="X19" s="967">
        <f t="shared" si="14"/>
        <v>112</v>
      </c>
      <c r="Y19" s="974">
        <f t="shared" si="14"/>
        <v>1197</v>
      </c>
      <c r="Z19" s="974">
        <f t="shared" si="14"/>
        <v>0</v>
      </c>
      <c r="AA19" s="974">
        <f t="shared" si="14"/>
        <v>1888</v>
      </c>
      <c r="AB19" s="974">
        <f t="shared" si="14"/>
        <v>4712</v>
      </c>
      <c r="AC19" s="974">
        <f t="shared" si="14"/>
        <v>2170</v>
      </c>
      <c r="AD19" s="974">
        <f t="shared" si="14"/>
        <v>0</v>
      </c>
      <c r="AE19" s="976">
        <f t="shared" si="14"/>
        <v>0</v>
      </c>
      <c r="AF19" s="977">
        <f t="shared" si="14"/>
        <v>0</v>
      </c>
      <c r="AG19" s="978">
        <f t="shared" si="14"/>
        <v>0</v>
      </c>
      <c r="AH19" s="976">
        <f t="shared" si="14"/>
        <v>0</v>
      </c>
      <c r="AI19" s="966">
        <f t="shared" si="14"/>
        <v>400</v>
      </c>
      <c r="AJ19" s="966">
        <f t="shared" si="14"/>
        <v>0</v>
      </c>
      <c r="AK19" s="976">
        <f t="shared" si="14"/>
        <v>0</v>
      </c>
      <c r="AL19" s="1030">
        <f>IF(ISNUMBER(NºAsuntos!G19/NºAsuntos!E19),NºAsuntos!G19/NºAsuntos!E19," - ")</f>
        <v>0.73576596413966655</v>
      </c>
      <c r="AM19" s="1031">
        <f>IF(ISNUMBER(((NºAsuntos!I19/NºAsuntos!G19)*11)/factor_trimestre),((NºAsuntos!I19/NºAsuntos!G19)*11)/factor_trimestre," - ")</f>
        <v>4.4967935014963656</v>
      </c>
      <c r="AN19" s="1031">
        <f>IF(ISNUMBER('Resol  Asuntos'!D19/NºAsuntos!G19),'Resol  Asuntos'!D19/NºAsuntos!G19," - ")</f>
        <v>0.17101325352714836</v>
      </c>
      <c r="AO19" s="1032">
        <f>IF(ISNUMBER((NºAsuntos!C19+NºAsuntos!E19)/NºAsuntos!G19),(NºAsuntos!C19+NºAsuntos!E19)/NºAsuntos!G19," - ")</f>
        <v>3.2321504916631039</v>
      </c>
      <c r="AP19" s="1033" t="str">
        <f t="shared" si="2"/>
        <v xml:space="preserve"> - </v>
      </c>
      <c r="AQ19" s="1034">
        <f>IF(OR(ISNUMBER(FIND("01",Criterios!A8,1)),ISNUMBER(FIND("02",Criterios!A8,1)),ISNUMBER(FIND("03",Criterios!A8,1)),ISNUMBER(FIND("04",Criterios!A8,1))),(I19-W19+K19)/(F19-K19),(H19-W19+K19)/(F19-K19))</f>
        <v>-0.8013052936910805</v>
      </c>
      <c r="AR19" s="1035">
        <f>IF(ISNUMBER((Datos!P19-Datos!Q19)/(Datos!R19-Datos!P19+Datos!Q19)),(Datos!P19-Datos!Q19)/(Datos!R19-Datos!P19+Datos!Q19)," - ")</f>
        <v>2.6579520697167756E-2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597.6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2.2236106773543889</v>
      </c>
      <c r="F21" s="256">
        <f>IF(ISNUMBER(STDEV(F8:F18)),STDEV(F8:F18),"-")</f>
        <v>768.45320829139189</v>
      </c>
      <c r="G21" s="257">
        <f>IF(ISNUMBER(STDEV(G8:G18)),STDEV(G8:G18),"-")</f>
        <v>730.46581028820242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570.64130590065065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131.68548388743031</v>
      </c>
      <c r="AJ21" s="256">
        <f t="shared" si="18"/>
        <v>0</v>
      </c>
      <c r="AK21" s="258">
        <f t="shared" si="18"/>
        <v>0</v>
      </c>
      <c r="AL21" s="253">
        <f t="shared" si="18"/>
        <v>0.33282553850777058</v>
      </c>
      <c r="AM21" s="254">
        <f t="shared" si="18"/>
        <v>1.655723199343722</v>
      </c>
      <c r="AN21" s="254">
        <f t="shared" si="18"/>
        <v>0.12420757007094065</v>
      </c>
      <c r="AO21" s="255">
        <f t="shared" si="18"/>
        <v>0.83989505294160849</v>
      </c>
      <c r="AP21" s="295" t="str">
        <f t="shared" si="18"/>
        <v>-</v>
      </c>
      <c r="AQ21" s="296">
        <f t="shared" si="18"/>
        <v>0.2168286845631075</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U++riOyv1RGFQYsbSu2btYwy/zAuJh2ZZYFBxbNMJdCs0DO/IvTgeQKrptuyrFxtMQ0V9hncfjmTL/7B4Of1+A==" saltValue="WkOR6K8PgULBFKr4MQBLY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LEON</v>
      </c>
      <c r="E3" s="267"/>
    </row>
    <row r="4" spans="2:20" ht="17.25" customHeight="1" thickBot="1">
      <c r="D4" s="266" t="str">
        <f>Criterios!A11 &amp;"  "&amp;Criterios!B11</f>
        <v>Resumenes por Partidos Judiciales  PONFERRADA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-0.17241379310344829</v>
      </c>
      <c r="E10" s="357">
        <f>IF(ISNUMBER((Datos!J10-Datos!T10)/Datos!T10),(Datos!J10-Datos!T10)/Datos!T10," - ")</f>
        <v>0</v>
      </c>
      <c r="F10" s="357">
        <f>IF(ISNUMBER((Datos!K10-Datos!U10)/Datos!U10),(Datos!K10-Datos!U10)/Datos!U10," - ")</f>
        <v>-0.33333333333333331</v>
      </c>
      <c r="G10" s="358">
        <f>IF(ISNUMBER((Datos!L10-Datos!V10)/Datos!V10),(Datos!L10-Datos!V10)/Datos!V10," - ")</f>
        <v>5.2631578947368418E-2</v>
      </c>
      <c r="H10" s="234">
        <f>IF(ISNUMBER((Datos!M10-Datos!W10)/Datos!W10),(Datos!M10-Datos!W10)/Datos!W10," - ")</f>
        <v>-0.58333333333333337</v>
      </c>
      <c r="I10" s="359">
        <f>IF(ISNUMBER((Tasas!C10-Datos!BE10)/Datos!BE10),(Tasas!C10-Datos!BE10)/Datos!BE10," - ")</f>
        <v>0.57894736842105265</v>
      </c>
      <c r="J10" s="358">
        <f>IF(ISNUMBER((Tasas!D10-Datos!BF10)/Datos!BF10),(Tasas!D10-Datos!BF10)/Datos!BF10," - ")</f>
        <v>-0.37499999999999994</v>
      </c>
      <c r="K10" s="360">
        <f>IF(ISNUMBER((Tasas!E10-Datos!BG10)/Datos!BG10),(Tasas!E10-Datos!BG10)/Datos!BG10," - ")</f>
        <v>0.29729729729729737</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23.75</v>
      </c>
      <c r="I13" s="366">
        <f>IF(ISNUMBER((Tasas!C13-Datos!BE13)/Datos!BE13),(Tasas!C13-Datos!BE13)/Datos!BE13," - ")</f>
        <v>1.57827152150038</v>
      </c>
      <c r="J13" s="364">
        <f>IF(ISNUMBER((Tasas!D13-Datos!BF13)/Datos!BF13),(Tasas!D13-Datos!BF13)/Datos!BF13," - ")</f>
        <v>-0.6424558587479936</v>
      </c>
      <c r="K13" s="367">
        <f>IF(ISNUMBER((Tasas!E13-Datos!BG13)/Datos!BG13),(Tasas!E13-Datos!BG13)/Datos!BG13," - ")</f>
        <v>0.8104637542839791</v>
      </c>
      <c r="M13" t="e">
        <f>IF(Monitorios="SI",Datos!CE13,0)</f>
        <v>#REF!</v>
      </c>
      <c r="N13" t="e">
        <f>IF(Monitorios="SI",Datos!CF13,0)</f>
        <v>#REF!</v>
      </c>
      <c r="O13" t="e">
        <f>IF(Monitorios="SI",Datos!CG13,0)</f>
        <v>#REF!</v>
      </c>
      <c r="P13" t="e">
        <f>IF(Monitorios="SI",Datos!CH13,0)</f>
        <v>#REF!</v>
      </c>
      <c r="Q13">
        <f>IF(J_V="SI",0,Datos!AG13)</f>
        <v>0</v>
      </c>
      <c r="R13">
        <f>IF(J_V="SI",0,Datos!AH13)</f>
        <v>0</v>
      </c>
      <c r="S13">
        <f>IF(J_V="SI",0,Datos!AI13)</f>
        <v>0</v>
      </c>
      <c r="T13">
        <f>IF(J_V="SI",0,Datos!AJ13)</f>
        <v>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0.73863636363636365</v>
      </c>
      <c r="E17" s="357">
        <f>IF(ISNUMBER(
   IF(D_I="SI",(Datos!J17-Datos!T17)/Datos!T17,(Datos!J17+Datos!AD17-(Datos!T17+Datos!AL17))/(Datos!T17+Datos!AL17))
     ),IF(D_I="SI",(Datos!J17-Datos!T17)/Datos!T17,(Datos!J17+Datos!AD17-(Datos!T17+Datos!AL17))/(Datos!T17+Datos!AL17))," - ")</f>
        <v>5.6179775280898875E-2</v>
      </c>
      <c r="F17" s="357">
        <f>IF(ISNUMBER(
   IF(D_I="SI",(Datos!K17-Datos!U17)/Datos!U17,(Datos!K17+Datos!AE17-(Datos!U17+Datos!AM17))/(Datos!U17+Datos!AM17))
     ),IF(D_I="SI",(Datos!K17-Datos!U17)/Datos!U17,(Datos!K17+Datos!AE17-(Datos!U17+Datos!AM17))/(Datos!U17+Datos!AM17))," - ")</f>
        <v>-0.4175824175824176</v>
      </c>
      <c r="G17" s="358">
        <f>IF(ISNUMBER(
   IF(D_I="SI",(Datos!L17-Datos!V17)/Datos!V17,(Datos!L17+Datos!AF17-(Datos!V17+Datos!AN17))/(Datos!V17+Datos!AN17))
     ),IF(D_I="SI",(Datos!L17-Datos!V17)/Datos!V17,(Datos!L17+Datos!AF17-(Datos!V17+Datos!AN17))/(Datos!V17+Datos!AN17))," - ")</f>
        <v>1.2558139534883721</v>
      </c>
      <c r="H17" s="234">
        <f>IF(ISNUMBER((Datos!M17-Datos!W17)/Datos!W17),(Datos!M17-Datos!W17)/Datos!W17," - ")</f>
        <v>0</v>
      </c>
      <c r="I17" s="359">
        <f>IF(ISNUMBER((Tasas!C17-Datos!BE17)/Datos!BE17),(Tasas!C17-Datos!BE17)/Datos!BE17," - ")</f>
        <v>2.873189995612111</v>
      </c>
      <c r="J17" s="358">
        <f>IF(ISNUMBER((Tasas!D17-Datos!BF17)/Datos!BF17),(Tasas!D17-Datos!BF17)/Datos!BF17," - ")</f>
        <v>0.71698113207547154</v>
      </c>
      <c r="K17" s="360">
        <f>IF(ISNUMBER((Tasas!E17-Datos!BG17)/Datos!BG17),(Tasas!E17-Datos!BG17)/Datos!BG17," - ")</f>
        <v>1.396013218207014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15.704545454545455</v>
      </c>
      <c r="E18" s="363">
        <f>IF(ISNUMBER(
   IF(D_I="SI",(Datos!J18-Datos!T18)/Datos!T18,(Datos!J18+Datos!AD18-(Datos!T18+Datos!AL18))/(Datos!T18+Datos!AL18))
     ),IF(D_I="SI",(Datos!J18-Datos!T18)/Datos!T18,(Datos!J18+Datos!AD18-(Datos!T18+Datos!AL18))/(Datos!T18+Datos!AL18))," - ")</f>
        <v>15.325842696629213</v>
      </c>
      <c r="F18" s="363">
        <f>IF(ISNUMBER(
   IF(D_I="SI",(Datos!K18-Datos!U18)/Datos!U18,(Datos!K18+Datos!AE18-(Datos!U18+Datos!AM18))/(Datos!U18+Datos!AM18))
     ),IF(D_I="SI",(Datos!K18-Datos!U18)/Datos!U18,(Datos!K18+Datos!AE18-(Datos!U18+Datos!AM18))/(Datos!U18+Datos!AM18))," - ")</f>
        <v>11.010989010989011</v>
      </c>
      <c r="G18" s="364">
        <f>IF(ISNUMBER(
   IF(D_I="SI",(Datos!L18-Datos!V18)/Datos!V18,(Datos!L18+Datos!AF18-(Datos!V18+Datos!AN18))/(Datos!V18+Datos!AN18))
     ),IF(D_I="SI",(Datos!L18-Datos!V18)/Datos!V18,(Datos!L18+Datos!AF18-(Datos!V18+Datos!AN18))/(Datos!V18+Datos!AN18))," - ")</f>
        <v>20.720930232558139</v>
      </c>
      <c r="H18" s="365">
        <f>IF(ISNUMBER((Datos!M18-Datos!W18)/Datos!W18),(Datos!M18-Datos!W18)/Datos!W18," - ")</f>
        <v>13.714285714285714</v>
      </c>
      <c r="I18" s="366">
        <f>IF(ISNUMBER((Tasas!C18-Datos!BE18)/Datos!BE18),(Tasas!C18-Datos!BE18)/Datos!BE18," - ")</f>
        <v>0.80842145577565483</v>
      </c>
      <c r="J18" s="364">
        <f>IF(ISNUMBER((Tasas!D18-Datos!BF18)/Datos!BF18),(Tasas!D18-Datos!BF18)/Datos!BF18," - ")</f>
        <v>0.22506861848124426</v>
      </c>
      <c r="K18" s="367">
        <f>IF(ISNUMBER((Tasas!E18-Datos!BG18)/Datos!BG18),(Tasas!E18-Datos!BG18)/Datos!BG18," - ")</f>
        <v>0.37491794211753282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36.444444444444443</v>
      </c>
      <c r="E19" s="372">
        <f>IF(ISNUMBER(
   IF(J_V="SI",(Datos!J19-Datos!T19)/Datos!T19,(Datos!J19+Datos!Z19-(Datos!T19+Datos!AH19))/(Datos!T19+Datos!AH19))
     ),IF(J_V="SI",(Datos!J19-Datos!T19)/Datos!T19,(Datos!J19+Datos!Z19-(Datos!T19+Datos!AH19))/(Datos!T19+Datos!AH19))," - ")</f>
        <v>31.773195876288661</v>
      </c>
      <c r="F19" s="372">
        <f>IF(ISNUMBER(
   IF(J_V="SI",(Datos!K19-Datos!U19)/Datos!U19,(Datos!K19+Datos!AA19-(Datos!U19+Datos!AI19))/(Datos!U19+Datos!AI19))
     ),IF(J_V="SI",(Datos!K19-Datos!U19)/Datos!U19,(Datos!K19+Datos!AA19-(Datos!U19+Datos!AI19))/(Datos!U19+Datos!AI19))," - ")</f>
        <v>20.458715596330276</v>
      </c>
      <c r="G19" s="373">
        <f>IF(ISNUMBER(
   IF(J_V="SI",(Datos!L19-Datos!V19)/Datos!V19,(Datos!L19+Datos!AB19-(Datos!V19+Datos!AJ19))/(Datos!V19+Datos!AJ19))
     ),IF(J_V="SI",(Datos!L19-Datos!V19)/Datos!V19,(Datos!L19+Datos!AB19-(Datos!V19+Datos!AJ19))/(Datos!V19+Datos!AJ19))," - ")</f>
        <v>49.085714285714289</v>
      </c>
      <c r="H19" s="374">
        <f>IF(ISNUMBER((Datos!M19-Datos!W19)/Datos!W19),(Datos!M19-Datos!W19)/Datos!W19," - ")</f>
        <v>20.05263157894737</v>
      </c>
      <c r="I19" s="371">
        <f>IF(ISNUMBER((Tasas!C19-Datos!BE19)/Datos!BE19),(Tasas!C19-Datos!BE19)/Datos!BE19," - ")</f>
        <v>1.3340499603004945</v>
      </c>
      <c r="J19" s="372">
        <f>IF(ISNUMBER((Tasas!D19-Datos!BF19)/Datos!BF19),(Tasas!D19-Datos!BF19)/Datos!BF19," - ")</f>
        <v>-1.8923966607412114E-2</v>
      </c>
      <c r="K19" s="373">
        <f>IF(ISNUMBER((Tasas!E19-Datos!BG19)/Datos!BG19),(Tasas!E19-Datos!BG19)/Datos!BG19," - ")</f>
        <v>0.64628225977232856</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8.9152143576487166</v>
      </c>
      <c r="E21" s="282">
        <f t="shared" si="1"/>
        <v>8.8322063708204972</v>
      </c>
      <c r="F21" s="282">
        <f t="shared" si="1"/>
        <v>6.5741031360184694</v>
      </c>
      <c r="G21" s="283">
        <f t="shared" si="1"/>
        <v>11.601127594756768</v>
      </c>
      <c r="H21" s="289">
        <f t="shared" si="1"/>
        <v>11.72509059381234</v>
      </c>
      <c r="I21" s="281">
        <f t="shared" si="1"/>
        <v>1.0347144716259511</v>
      </c>
      <c r="J21" s="282">
        <f t="shared" si="1"/>
        <v>0.61010131315183047</v>
      </c>
      <c r="K21" s="283">
        <f t="shared" si="1"/>
        <v>0.50429367634243294</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62R0rGWiOdQ0MYBiio+Pc0zAk4bsnXzD5BSkGHH4iWJ+Ev2KrytDVgEjO6B/IZjxkzmLvBwTKqsUdY9kl5jATw==" saltValue="/yYQuOGj97HtrfNt/39C7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2023-11-29T07:40:53Z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